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720" tabRatio="801"/>
  </bookViews>
  <sheets>
    <sheet name="入力" sheetId="20" r:id="rId1"/>
    <sheet name="和暦表示" sheetId="39" state="hidden" r:id="rId2"/>
    <sheet name="作成手順" sheetId="30" r:id="rId3"/>
    <sheet name="記入要領" sheetId="31" r:id="rId4"/>
    <sheet name="様式1" sheetId="23" r:id="rId5"/>
    <sheet name="様式2" sheetId="26" r:id="rId6"/>
    <sheet name="様式3" sheetId="25" r:id="rId7"/>
    <sheet name="様式4" sheetId="18" r:id="rId8"/>
    <sheet name="様式5" sheetId="22" r:id="rId9"/>
    <sheet name="様式6" sheetId="33" r:id="rId10"/>
    <sheet name="様式7" sheetId="34" r:id="rId11"/>
    <sheet name="様式8" sheetId="36" r:id="rId12"/>
    <sheet name="様式9" sheetId="37" r:id="rId13"/>
    <sheet name="様式10" sheetId="41" r:id="rId14"/>
  </sheets>
  <definedNames>
    <definedName name="_xlnm.Print_Area" localSheetId="3">記入要領!$A$1:$C$49</definedName>
    <definedName name="_xlnm.Print_Area" localSheetId="2">作成手順!$A$1:$D$40</definedName>
    <definedName name="_xlnm.Print_Area" localSheetId="0">入力!$A$16:$E$39</definedName>
    <definedName name="_xlnm.Print_Area" localSheetId="4">様式1!$A$1:$K$56</definedName>
    <definedName name="_xlnm.Print_Area" localSheetId="13">様式10!$A$1:$Q$35</definedName>
    <definedName name="_xlnm.Print_Area" localSheetId="5">様式2!$A$1:$J$52</definedName>
    <definedName name="_xlnm.Print_Area" localSheetId="6">様式3!$A$1:$N$73</definedName>
    <definedName name="_xlnm.Print_Area" localSheetId="7">様式4!$A$1:$M$76</definedName>
    <definedName name="_xlnm.Print_Area" localSheetId="8">様式5!$A$1:$M$46</definedName>
    <definedName name="_xlnm.Print_Area" localSheetId="9">様式6!$A$1:$Q$70</definedName>
    <definedName name="_xlnm.Print_Area" localSheetId="10">様式7!$A$1:$Q$74</definedName>
    <definedName name="_xlnm.Print_Area" localSheetId="11">様式8!$A$1:$Q$48</definedName>
    <definedName name="_xlnm.Print_Area" localSheetId="12">様式9!$A$1:$Q$48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25" l="1"/>
  <c r="I69" i="18" l="1"/>
  <c r="I22" i="37"/>
  <c r="Q11" i="37"/>
  <c r="P11" i="37"/>
  <c r="O11" i="37"/>
  <c r="N11" i="37"/>
  <c r="M11" i="37"/>
  <c r="L11" i="37"/>
  <c r="K11" i="37"/>
  <c r="J11" i="37"/>
  <c r="I11" i="37"/>
  <c r="K5" i="23" l="1"/>
  <c r="N3" i="25"/>
  <c r="M3" i="18"/>
  <c r="Q3" i="33"/>
  <c r="Q3" i="41"/>
  <c r="J42" i="26" l="1"/>
  <c r="J30" i="26"/>
  <c r="J25" i="26"/>
  <c r="J13" i="26"/>
  <c r="J8" i="26"/>
  <c r="Q4" i="37"/>
  <c r="Q4" i="36"/>
  <c r="M3" i="22"/>
  <c r="J4" i="26"/>
  <c r="E73" i="34" l="1"/>
  <c r="G72" i="34"/>
  <c r="H72" i="34"/>
  <c r="I72" i="34"/>
  <c r="J72" i="34"/>
  <c r="K72" i="34"/>
  <c r="L72" i="34"/>
  <c r="M72" i="34"/>
  <c r="N72" i="34"/>
  <c r="O72" i="34"/>
  <c r="P72" i="34"/>
  <c r="F72" i="34"/>
  <c r="E72" i="34"/>
  <c r="E73" i="18"/>
  <c r="G39" i="34"/>
  <c r="H39" i="34"/>
  <c r="H43" i="34" s="1"/>
  <c r="I39" i="34"/>
  <c r="J39" i="34"/>
  <c r="J43" i="34" s="1"/>
  <c r="K39" i="34"/>
  <c r="L39" i="34"/>
  <c r="L43" i="34" s="1"/>
  <c r="M39" i="34"/>
  <c r="N39" i="34"/>
  <c r="N43" i="34" s="1"/>
  <c r="O39" i="34"/>
  <c r="P39" i="34"/>
  <c r="P43" i="34" s="1"/>
  <c r="F39" i="34"/>
  <c r="E39" i="34"/>
  <c r="E43" i="34" s="1"/>
  <c r="F43" i="34"/>
  <c r="G43" i="34"/>
  <c r="I43" i="34"/>
  <c r="K43" i="34"/>
  <c r="M43" i="34"/>
  <c r="O43" i="34"/>
  <c r="E44" i="18"/>
  <c r="E42" i="18"/>
  <c r="Q67" i="34"/>
  <c r="Q69" i="34"/>
  <c r="Q70" i="34"/>
  <c r="Q40" i="34"/>
  <c r="Q41" i="34"/>
  <c r="E41" i="18"/>
  <c r="I8" i="20"/>
  <c r="C35" i="20" s="1"/>
  <c r="E17" i="20"/>
  <c r="B14" i="20"/>
  <c r="B8" i="20"/>
  <c r="Q5" i="41"/>
  <c r="Q18" i="41" s="1"/>
  <c r="Q20" i="37"/>
  <c r="Q17" i="37"/>
  <c r="Q16" i="37"/>
  <c r="Q14" i="37"/>
  <c r="Q22" i="34"/>
  <c r="Q21" i="34"/>
  <c r="Q20" i="34"/>
  <c r="Q19" i="34"/>
  <c r="Q17" i="34"/>
  <c r="Q16" i="34"/>
  <c r="Q15" i="34"/>
  <c r="Q14" i="34"/>
  <c r="Q11" i="34"/>
  <c r="Q10" i="34"/>
  <c r="Q4" i="34"/>
  <c r="Q44" i="33"/>
  <c r="Q20" i="33"/>
  <c r="M73" i="18"/>
  <c r="M69" i="18"/>
  <c r="M64" i="18"/>
  <c r="M58" i="18"/>
  <c r="M45" i="18"/>
  <c r="M4" i="18"/>
  <c r="Q39" i="34" l="1"/>
  <c r="Q42" i="34"/>
  <c r="M17" i="22"/>
  <c r="M32" i="18" l="1"/>
  <c r="M17" i="18"/>
  <c r="Q29" i="41" l="1"/>
  <c r="P29" i="41"/>
  <c r="O29" i="41"/>
  <c r="N29" i="41"/>
  <c r="M29" i="41"/>
  <c r="L29" i="41"/>
  <c r="K29" i="41"/>
  <c r="J29" i="41"/>
  <c r="I29" i="41"/>
  <c r="K18" i="41"/>
  <c r="J18" i="41"/>
  <c r="I18" i="41"/>
  <c r="L5" i="41"/>
  <c r="L18" i="41" s="1"/>
  <c r="M5" i="41"/>
  <c r="M18" i="41" s="1"/>
  <c r="P5" i="41"/>
  <c r="P18" i="41" s="1"/>
  <c r="O5" i="41"/>
  <c r="O18" i="41" s="1"/>
  <c r="N5" i="41"/>
  <c r="N18" i="41" s="1"/>
  <c r="K11" i="41"/>
  <c r="J11" i="41"/>
  <c r="I11" i="41"/>
  <c r="I1" i="41"/>
  <c r="Q30" i="41" l="1"/>
  <c r="M30" i="41"/>
  <c r="L30" i="41"/>
  <c r="J30" i="41"/>
  <c r="I30" i="41"/>
  <c r="P30" i="41"/>
  <c r="O30" i="41"/>
  <c r="N30" i="41"/>
  <c r="K30" i="41"/>
  <c r="I59" i="25" l="1"/>
  <c r="J59" i="25" s="1"/>
  <c r="K59" i="25" s="1"/>
  <c r="L59" i="25" s="1"/>
  <c r="M59" i="25" s="1"/>
  <c r="I54" i="25"/>
  <c r="J54" i="25" s="1"/>
  <c r="K54" i="25" s="1"/>
  <c r="L54" i="25" s="1"/>
  <c r="M54" i="25" s="1"/>
  <c r="I49" i="25"/>
  <c r="J49" i="25" s="1"/>
  <c r="K49" i="25" s="1"/>
  <c r="L49" i="25" s="1"/>
  <c r="M49" i="25" s="1"/>
  <c r="I44" i="25" l="1"/>
  <c r="J44" i="25" s="1"/>
  <c r="K44" i="25" s="1"/>
  <c r="L44" i="25" s="1"/>
  <c r="M44" i="25" s="1"/>
  <c r="I32" i="25"/>
  <c r="J32" i="25" s="1"/>
  <c r="K32" i="25" s="1"/>
  <c r="L32" i="25" s="1"/>
  <c r="M32" i="25" s="1"/>
  <c r="I27" i="25"/>
  <c r="J27" i="25" s="1"/>
  <c r="K27" i="25" s="1"/>
  <c r="L27" i="25" s="1"/>
  <c r="M27" i="25" s="1"/>
  <c r="I22" i="25"/>
  <c r="J22" i="25" s="1"/>
  <c r="K22" i="25" s="1"/>
  <c r="L22" i="25" s="1"/>
  <c r="M22" i="25" s="1"/>
  <c r="I17" i="25"/>
  <c r="J17" i="25" s="1"/>
  <c r="K17" i="25" s="1"/>
  <c r="L17" i="25" s="1"/>
  <c r="M17" i="25" s="1"/>
  <c r="I12" i="25"/>
  <c r="J12" i="25" s="1"/>
  <c r="K12" i="25" s="1"/>
  <c r="L12" i="25" s="1"/>
  <c r="M12" i="25" s="1"/>
  <c r="J7" i="25" l="1"/>
  <c r="K7" i="25" s="1"/>
  <c r="L7" i="25" s="1"/>
  <c r="M7" i="25" s="1"/>
  <c r="F73" i="18" l="1"/>
  <c r="G72" i="18"/>
  <c r="F72" i="18"/>
  <c r="E72" i="18"/>
  <c r="G68" i="18"/>
  <c r="F68" i="18"/>
  <c r="E68" i="18"/>
  <c r="G63" i="18"/>
  <c r="F63" i="18"/>
  <c r="E63" i="18"/>
  <c r="F45" i="18"/>
  <c r="E45" i="18"/>
  <c r="G45" i="18"/>
  <c r="G73" i="18" s="1"/>
  <c r="G41" i="18"/>
  <c r="F41" i="18"/>
  <c r="G37" i="18"/>
  <c r="F37" i="18"/>
  <c r="E37" i="18"/>
  <c r="G30" i="18"/>
  <c r="F30" i="18"/>
  <c r="E30" i="18"/>
  <c r="G26" i="18"/>
  <c r="F26" i="18"/>
  <c r="E26" i="18"/>
  <c r="G21" i="18"/>
  <c r="F21" i="18"/>
  <c r="E21" i="18"/>
  <c r="G16" i="18"/>
  <c r="F16" i="18"/>
  <c r="E16" i="18"/>
  <c r="G14" i="18"/>
  <c r="F14" i="18"/>
  <c r="E14" i="18"/>
  <c r="G8" i="18"/>
  <c r="G42" i="18" s="1"/>
  <c r="F8" i="18"/>
  <c r="F42" i="18" s="1"/>
  <c r="E8" i="18"/>
  <c r="G5" i="18"/>
  <c r="F5" i="18"/>
  <c r="E5" i="18"/>
  <c r="N63" i="25"/>
  <c r="M63" i="25"/>
  <c r="L63" i="25"/>
  <c r="K63" i="25"/>
  <c r="J63" i="25"/>
  <c r="I63" i="25"/>
  <c r="H63" i="25"/>
  <c r="G63" i="25"/>
  <c r="F63" i="25"/>
  <c r="N36" i="25"/>
  <c r="M36" i="25"/>
  <c r="L36" i="25"/>
  <c r="K36" i="25"/>
  <c r="J36" i="25"/>
  <c r="I36" i="25"/>
  <c r="H36" i="25"/>
  <c r="G36" i="25"/>
  <c r="F36" i="25"/>
  <c r="G45" i="22"/>
  <c r="E45" i="22"/>
  <c r="G32" i="22"/>
  <c r="F32" i="22"/>
  <c r="F45" i="22" s="1"/>
  <c r="E32" i="22"/>
  <c r="E31" i="22"/>
  <c r="E46" i="22" s="1"/>
  <c r="G30" i="22"/>
  <c r="F30" i="22"/>
  <c r="E30" i="22"/>
  <c r="F26" i="22"/>
  <c r="E26" i="22"/>
  <c r="G26" i="22"/>
  <c r="F21" i="22"/>
  <c r="E21" i="22"/>
  <c r="G21" i="22"/>
  <c r="F16" i="22"/>
  <c r="E16" i="22"/>
  <c r="G16" i="22"/>
  <c r="G14" i="22"/>
  <c r="F14" i="22"/>
  <c r="E14" i="22"/>
  <c r="F8" i="22"/>
  <c r="F31" i="22" s="1"/>
  <c r="E8" i="22"/>
  <c r="G8" i="22"/>
  <c r="G31" i="22" s="1"/>
  <c r="F5" i="22"/>
  <c r="E5" i="22"/>
  <c r="G5" i="22"/>
  <c r="E74" i="18" l="1"/>
  <c r="F43" i="18" s="1"/>
  <c r="F44" i="18" s="1"/>
  <c r="F74" i="18" s="1"/>
  <c r="E75" i="18"/>
  <c r="G43" i="18" l="1"/>
  <c r="G44" i="18" s="1"/>
  <c r="G74" i="18" s="1"/>
  <c r="G75" i="18" s="1"/>
  <c r="F75" i="18"/>
  <c r="C30" i="39"/>
  <c r="C29" i="39"/>
  <c r="C28" i="39"/>
  <c r="C27" i="39"/>
  <c r="C26" i="39"/>
  <c r="C25" i="39"/>
  <c r="C24" i="39"/>
  <c r="C23" i="39"/>
  <c r="C22" i="39"/>
  <c r="C21" i="39"/>
  <c r="C20" i="39"/>
  <c r="C19" i="39"/>
  <c r="C18" i="39"/>
  <c r="C17" i="39"/>
  <c r="D30" i="39"/>
  <c r="D29" i="39"/>
  <c r="D28" i="39"/>
  <c r="D27" i="39"/>
  <c r="D26" i="39"/>
  <c r="D25" i="39"/>
  <c r="D24" i="39"/>
  <c r="D23" i="39"/>
  <c r="D22" i="39"/>
  <c r="D21" i="39"/>
  <c r="D20" i="39"/>
  <c r="D19" i="39"/>
  <c r="D16" i="39"/>
  <c r="D18" i="39"/>
  <c r="D17" i="39"/>
  <c r="B10" i="23" l="1"/>
  <c r="I14" i="20" l="1"/>
  <c r="O3" i="41" l="1"/>
  <c r="M3" i="41"/>
  <c r="K3" i="41"/>
  <c r="I3" i="41"/>
  <c r="P3" i="41"/>
  <c r="N3" i="41"/>
  <c r="L3" i="41"/>
  <c r="J3" i="41"/>
  <c r="N4" i="37"/>
  <c r="J4" i="37"/>
  <c r="O4" i="36"/>
  <c r="K4" i="36"/>
  <c r="P3" i="33"/>
  <c r="L3" i="33"/>
  <c r="I3" i="22"/>
  <c r="E3" i="22"/>
  <c r="J3" i="18"/>
  <c r="F3" i="18"/>
  <c r="L3" i="25"/>
  <c r="G3" i="25"/>
  <c r="O4" i="37"/>
  <c r="L4" i="36"/>
  <c r="J3" i="22"/>
  <c r="G3" i="18"/>
  <c r="M4" i="37"/>
  <c r="I4" i="37"/>
  <c r="N4" i="36"/>
  <c r="J4" i="36"/>
  <c r="O3" i="33"/>
  <c r="K3" i="33"/>
  <c r="L3" i="22"/>
  <c r="H3" i="22"/>
  <c r="I3" i="18"/>
  <c r="E3" i="18"/>
  <c r="K3" i="25"/>
  <c r="F3" i="25"/>
  <c r="P4" i="36"/>
  <c r="I3" i="33"/>
  <c r="K3" i="18"/>
  <c r="H3" i="25"/>
  <c r="P4" i="37"/>
  <c r="L4" i="37"/>
  <c r="M4" i="36"/>
  <c r="I4" i="36"/>
  <c r="N3" i="33"/>
  <c r="J3" i="33"/>
  <c r="K3" i="22"/>
  <c r="G3" i="22"/>
  <c r="L3" i="18"/>
  <c r="H3" i="18"/>
  <c r="J3" i="25"/>
  <c r="I3" i="25"/>
  <c r="K4" i="37"/>
  <c r="M3" i="33"/>
  <c r="F3" i="22"/>
  <c r="M3" i="25"/>
  <c r="K9" i="33"/>
  <c r="J9" i="33"/>
  <c r="D36" i="20"/>
  <c r="P20" i="37"/>
  <c r="P22" i="37" s="1"/>
  <c r="L20" i="37"/>
  <c r="L22" i="37" s="1"/>
  <c r="I33" i="36"/>
  <c r="I30" i="36"/>
  <c r="I25" i="36"/>
  <c r="I22" i="36"/>
  <c r="M20" i="36"/>
  <c r="M22" i="36" s="1"/>
  <c r="N9" i="36"/>
  <c r="I11" i="36"/>
  <c r="J61" i="33"/>
  <c r="J60" i="33"/>
  <c r="N53" i="33"/>
  <c r="J53" i="33"/>
  <c r="N51" i="33"/>
  <c r="J51" i="33"/>
  <c r="N50" i="33"/>
  <c r="J50" i="33"/>
  <c r="N49" i="33"/>
  <c r="J49" i="33"/>
  <c r="N48" i="33"/>
  <c r="J48" i="33"/>
  <c r="N47" i="33"/>
  <c r="J47" i="33"/>
  <c r="N44" i="33"/>
  <c r="J44" i="33"/>
  <c r="N43" i="33"/>
  <c r="J43" i="33"/>
  <c r="N41" i="33"/>
  <c r="J41" i="33"/>
  <c r="N40" i="33"/>
  <c r="J40" i="33"/>
  <c r="N39" i="33"/>
  <c r="J39" i="33"/>
  <c r="N38" i="33"/>
  <c r="J38" i="33"/>
  <c r="J37" i="33"/>
  <c r="N30" i="33"/>
  <c r="J30" i="33"/>
  <c r="N29" i="33"/>
  <c r="J29" i="33"/>
  <c r="N28" i="33"/>
  <c r="J28" i="33"/>
  <c r="N27" i="33"/>
  <c r="J27" i="33"/>
  <c r="N24" i="33"/>
  <c r="J24" i="33"/>
  <c r="N23" i="33"/>
  <c r="J23" i="33"/>
  <c r="N22" i="33"/>
  <c r="J22" i="33"/>
  <c r="K33" i="37"/>
  <c r="K30" i="37"/>
  <c r="K25" i="37"/>
  <c r="K22" i="37"/>
  <c r="O20" i="37"/>
  <c r="O22" i="37" s="1"/>
  <c r="P20" i="36"/>
  <c r="P22" i="36" s="1"/>
  <c r="L20" i="36"/>
  <c r="L22" i="36" s="1"/>
  <c r="M9" i="36"/>
  <c r="I61" i="33"/>
  <c r="I60" i="33"/>
  <c r="M53" i="33"/>
  <c r="I53" i="33"/>
  <c r="M51" i="33"/>
  <c r="I51" i="33"/>
  <c r="M50" i="33"/>
  <c r="I50" i="33"/>
  <c r="M49" i="33"/>
  <c r="I49" i="33"/>
  <c r="M48" i="33"/>
  <c r="I48" i="33"/>
  <c r="M47" i="33"/>
  <c r="I47" i="33"/>
  <c r="M44" i="33"/>
  <c r="I44" i="33"/>
  <c r="M43" i="33"/>
  <c r="I43" i="33"/>
  <c r="M41" i="33"/>
  <c r="I41" i="33"/>
  <c r="M40" i="33"/>
  <c r="I40" i="33"/>
  <c r="M39" i="33"/>
  <c r="I39" i="33"/>
  <c r="M38" i="33"/>
  <c r="I38" i="33"/>
  <c r="I37" i="33"/>
  <c r="M30" i="33"/>
  <c r="I30" i="33"/>
  <c r="M29" i="33"/>
  <c r="I29" i="33"/>
  <c r="M28" i="33"/>
  <c r="I28" i="33"/>
  <c r="M27" i="33"/>
  <c r="I27" i="33"/>
  <c r="M24" i="33"/>
  <c r="I24" i="33"/>
  <c r="M23" i="33"/>
  <c r="I23" i="33"/>
  <c r="M22" i="33"/>
  <c r="I22" i="33"/>
  <c r="M21" i="33"/>
  <c r="I21" i="33"/>
  <c r="J33" i="37"/>
  <c r="J30" i="37"/>
  <c r="J25" i="37"/>
  <c r="J22" i="37"/>
  <c r="N20" i="37"/>
  <c r="N22" i="37" s="1"/>
  <c r="K33" i="36"/>
  <c r="K30" i="36"/>
  <c r="K25" i="36"/>
  <c r="K22" i="36"/>
  <c r="O20" i="36"/>
  <c r="O22" i="36" s="1"/>
  <c r="P9" i="36"/>
  <c r="L9" i="36"/>
  <c r="K11" i="36"/>
  <c r="P53" i="33"/>
  <c r="L53" i="33"/>
  <c r="P51" i="33"/>
  <c r="L51" i="33"/>
  <c r="P50" i="33"/>
  <c r="L50" i="33"/>
  <c r="P49" i="33"/>
  <c r="L49" i="33"/>
  <c r="P48" i="33"/>
  <c r="L48" i="33"/>
  <c r="P47" i="33"/>
  <c r="L47" i="33"/>
  <c r="P44" i="33"/>
  <c r="L44" i="33"/>
  <c r="P43" i="33"/>
  <c r="L43" i="33"/>
  <c r="P41" i="33"/>
  <c r="L41" i="33"/>
  <c r="P40" i="33"/>
  <c r="L40" i="33"/>
  <c r="P39" i="33"/>
  <c r="L39" i="33"/>
  <c r="P38" i="33"/>
  <c r="L38" i="33"/>
  <c r="P30" i="33"/>
  <c r="L30" i="33"/>
  <c r="P29" i="33"/>
  <c r="L29" i="33"/>
  <c r="P28" i="33"/>
  <c r="L28" i="33"/>
  <c r="P27" i="33"/>
  <c r="L27" i="33"/>
  <c r="P24" i="33"/>
  <c r="L24" i="33"/>
  <c r="P23" i="33"/>
  <c r="L23" i="33"/>
  <c r="P22" i="33"/>
  <c r="L22" i="33"/>
  <c r="P21" i="33"/>
  <c r="L21" i="33"/>
  <c r="I33" i="37"/>
  <c r="I30" i="37"/>
  <c r="I25" i="37"/>
  <c r="M20" i="37"/>
  <c r="M22" i="37" s="1"/>
  <c r="J33" i="36"/>
  <c r="J30" i="36"/>
  <c r="J25" i="36"/>
  <c r="J22" i="36"/>
  <c r="N20" i="36"/>
  <c r="N22" i="36" s="1"/>
  <c r="O9" i="36"/>
  <c r="J11" i="36"/>
  <c r="K61" i="33"/>
  <c r="K60" i="33"/>
  <c r="O53" i="33"/>
  <c r="K53" i="33"/>
  <c r="O51" i="33"/>
  <c r="K51" i="33"/>
  <c r="O50" i="33"/>
  <c r="K50" i="33"/>
  <c r="O49" i="33"/>
  <c r="K49" i="33"/>
  <c r="O48" i="33"/>
  <c r="K48" i="33"/>
  <c r="O47" i="33"/>
  <c r="K47" i="33"/>
  <c r="O44" i="33"/>
  <c r="K44" i="33"/>
  <c r="O43" i="33"/>
  <c r="K43" i="33"/>
  <c r="O41" i="33"/>
  <c r="K41" i="33"/>
  <c r="O40" i="33"/>
  <c r="K40" i="33"/>
  <c r="O39" i="33"/>
  <c r="K39" i="33"/>
  <c r="O38" i="33"/>
  <c r="K38" i="33"/>
  <c r="K37" i="33"/>
  <c r="O30" i="33"/>
  <c r="K30" i="33"/>
  <c r="O29" i="33"/>
  <c r="K29" i="33"/>
  <c r="O28" i="33"/>
  <c r="K28" i="33"/>
  <c r="O27" i="33"/>
  <c r="K27" i="33"/>
  <c r="O24" i="33"/>
  <c r="K24" i="33"/>
  <c r="O23" i="33"/>
  <c r="K23" i="33"/>
  <c r="O22" i="33"/>
  <c r="K22" i="33"/>
  <c r="O21" i="33"/>
  <c r="K21" i="33"/>
  <c r="N21" i="33"/>
  <c r="N20" i="33"/>
  <c r="J20" i="33"/>
  <c r="N15" i="33"/>
  <c r="J15" i="33"/>
  <c r="N14" i="33"/>
  <c r="J14" i="33"/>
  <c r="J13" i="33"/>
  <c r="J10" i="33"/>
  <c r="N9" i="33"/>
  <c r="J8" i="33"/>
  <c r="N7" i="33"/>
  <c r="J7" i="33"/>
  <c r="N6" i="33"/>
  <c r="J6" i="33"/>
  <c r="N5" i="33"/>
  <c r="J5" i="33"/>
  <c r="J21" i="33"/>
  <c r="M20" i="33"/>
  <c r="I20" i="33"/>
  <c r="M15" i="33"/>
  <c r="I15" i="33"/>
  <c r="M14" i="33"/>
  <c r="I14" i="33"/>
  <c r="I13" i="33"/>
  <c r="I10" i="33"/>
  <c r="M9" i="33"/>
  <c r="I9" i="33"/>
  <c r="I8" i="33"/>
  <c r="M7" i="33"/>
  <c r="I7" i="33"/>
  <c r="M6" i="33"/>
  <c r="I6" i="33"/>
  <c r="M5" i="33"/>
  <c r="I5" i="33"/>
  <c r="I4" i="33"/>
  <c r="P20" i="33"/>
  <c r="L20" i="33"/>
  <c r="P15" i="33"/>
  <c r="L15" i="33"/>
  <c r="P14" i="33"/>
  <c r="L14" i="33"/>
  <c r="P9" i="33"/>
  <c r="L9" i="33"/>
  <c r="P7" i="33"/>
  <c r="L7" i="33"/>
  <c r="P6" i="33"/>
  <c r="L6" i="33"/>
  <c r="P5" i="33"/>
  <c r="L5" i="33"/>
  <c r="K4" i="33"/>
  <c r="O20" i="33"/>
  <c r="K20" i="33"/>
  <c r="O15" i="33"/>
  <c r="K15" i="33"/>
  <c r="O14" i="33"/>
  <c r="K14" i="33"/>
  <c r="K13" i="33"/>
  <c r="K10" i="33"/>
  <c r="O9" i="33"/>
  <c r="K8" i="33"/>
  <c r="O7" i="33"/>
  <c r="K7" i="33"/>
  <c r="O6" i="33"/>
  <c r="K6" i="33"/>
  <c r="O5" i="33"/>
  <c r="K5" i="33"/>
  <c r="J4" i="33"/>
  <c r="H4" i="26"/>
  <c r="H21" i="26" s="1"/>
  <c r="H38" i="26" s="1"/>
  <c r="D4" i="26"/>
  <c r="D21" i="26" s="1"/>
  <c r="D38" i="26" s="1"/>
  <c r="I5" i="23"/>
  <c r="I23" i="23" s="1"/>
  <c r="I41" i="23" s="1"/>
  <c r="E5" i="23"/>
  <c r="E23" i="23" s="1"/>
  <c r="E41" i="23" s="1"/>
  <c r="G4" i="26"/>
  <c r="G21" i="26" s="1"/>
  <c r="G38" i="26" s="1"/>
  <c r="C4" i="26"/>
  <c r="C21" i="26" s="1"/>
  <c r="C38" i="26" s="1"/>
  <c r="H5" i="23"/>
  <c r="H23" i="23" s="1"/>
  <c r="H41" i="23" s="1"/>
  <c r="D5" i="23"/>
  <c r="D23" i="23" s="1"/>
  <c r="D41" i="23" s="1"/>
  <c r="J5" i="23"/>
  <c r="J23" i="23" s="1"/>
  <c r="J41" i="23" s="1"/>
  <c r="F4" i="26"/>
  <c r="F21" i="26" s="1"/>
  <c r="F38" i="26" s="1"/>
  <c r="B4" i="26"/>
  <c r="B21" i="26" s="1"/>
  <c r="B38" i="26" s="1"/>
  <c r="G5" i="23"/>
  <c r="G23" i="23" s="1"/>
  <c r="G41" i="23" s="1"/>
  <c r="C5" i="23"/>
  <c r="C23" i="23" s="1"/>
  <c r="C41" i="23" s="1"/>
  <c r="I4" i="26"/>
  <c r="I21" i="26" s="1"/>
  <c r="I38" i="26" s="1"/>
  <c r="E4" i="26"/>
  <c r="E21" i="26" s="1"/>
  <c r="E38" i="26" s="1"/>
  <c r="F5" i="23"/>
  <c r="F23" i="23" s="1"/>
  <c r="F41" i="23" s="1"/>
  <c r="E18" i="20"/>
  <c r="Q2" i="41" s="1"/>
  <c r="K23" i="23"/>
  <c r="K41" i="23" s="1"/>
  <c r="J21" i="26"/>
  <c r="J38" i="26" s="1"/>
  <c r="C36" i="20"/>
  <c r="A1" i="34"/>
  <c r="E36" i="20"/>
  <c r="D35" i="20"/>
  <c r="E35" i="20"/>
  <c r="I16" i="33" l="1"/>
  <c r="P26" i="33"/>
  <c r="I26" i="33"/>
  <c r="O26" i="33"/>
  <c r="M26" i="33"/>
  <c r="O32" i="33"/>
  <c r="K12" i="33"/>
  <c r="K26" i="33"/>
  <c r="K32" i="33"/>
  <c r="I32" i="33"/>
  <c r="I12" i="33"/>
  <c r="J12" i="33"/>
  <c r="J16" i="33"/>
  <c r="P32" i="33"/>
  <c r="J32" i="33"/>
  <c r="J26" i="33"/>
  <c r="N32" i="33"/>
  <c r="N26" i="33"/>
  <c r="L26" i="33"/>
  <c r="L32" i="33"/>
  <c r="M32" i="33"/>
  <c r="I67" i="25"/>
  <c r="I40" i="25"/>
  <c r="F67" i="25"/>
  <c r="F40" i="25"/>
  <c r="M67" i="25"/>
  <c r="M40" i="25"/>
  <c r="J67" i="25"/>
  <c r="J40" i="25"/>
  <c r="G67" i="25"/>
  <c r="G40" i="25"/>
  <c r="H67" i="25"/>
  <c r="H40" i="25"/>
  <c r="K16" i="33"/>
  <c r="K67" i="25"/>
  <c r="K40" i="25"/>
  <c r="L67" i="25"/>
  <c r="L40" i="25"/>
  <c r="N2" i="25"/>
  <c r="J2" i="26"/>
  <c r="M2" i="22"/>
  <c r="K2" i="23"/>
  <c r="M2" i="18"/>
  <c r="N40" i="25"/>
  <c r="N67" i="25"/>
  <c r="Q2" i="33" l="1"/>
  <c r="P2" i="34"/>
  <c r="Q2" i="36"/>
  <c r="Q2" i="37"/>
  <c r="Q20" i="36"/>
  <c r="Q15" i="36"/>
  <c r="Q9" i="36"/>
  <c r="Q51" i="33" l="1"/>
  <c r="Q50" i="33"/>
  <c r="Q49" i="33"/>
  <c r="Q48" i="33"/>
  <c r="Q43" i="33"/>
  <c r="Q40" i="33"/>
  <c r="Q39" i="33"/>
  <c r="Q30" i="33"/>
  <c r="Q29" i="33"/>
  <c r="Q24" i="33"/>
  <c r="Q23" i="33"/>
  <c r="Q22" i="33"/>
  <c r="Q15" i="33"/>
  <c r="Q9" i="33"/>
  <c r="Q6" i="33"/>
  <c r="P5" i="34" l="1"/>
  <c r="O5" i="34"/>
  <c r="N5" i="34"/>
  <c r="M5" i="34"/>
  <c r="L5" i="34"/>
  <c r="K5" i="34"/>
  <c r="J5" i="34"/>
  <c r="I5" i="34"/>
  <c r="H5" i="34"/>
  <c r="G5" i="34"/>
  <c r="F5" i="34"/>
  <c r="E5" i="34"/>
  <c r="Q5" i="34" l="1"/>
  <c r="M27" i="22"/>
  <c r="M4" i="22"/>
  <c r="L4" i="22"/>
  <c r="K4" i="22"/>
  <c r="J4" i="22"/>
  <c r="I4" i="22"/>
  <c r="H4" i="22"/>
  <c r="H45" i="18"/>
  <c r="L13" i="33" s="1"/>
  <c r="L16" i="33" s="1"/>
  <c r="H4" i="18" l="1"/>
  <c r="L4" i="33" s="1"/>
  <c r="N61" i="25"/>
  <c r="M61" i="25"/>
  <c r="L61" i="25"/>
  <c r="K61" i="25"/>
  <c r="J61" i="25"/>
  <c r="I61" i="25"/>
  <c r="H61" i="25"/>
  <c r="G61" i="25"/>
  <c r="F61" i="25"/>
  <c r="H12" i="18" l="1"/>
  <c r="M15" i="36" l="1"/>
  <c r="N15" i="36"/>
  <c r="O15" i="36"/>
  <c r="P15" i="36"/>
  <c r="L15" i="36"/>
  <c r="K18" i="37" l="1"/>
  <c r="J18" i="37"/>
  <c r="I18" i="37"/>
  <c r="Q22" i="36" l="1"/>
  <c r="M32" i="22" l="1"/>
  <c r="I32" i="22"/>
  <c r="I45" i="22" s="1"/>
  <c r="J32" i="22"/>
  <c r="J45" i="22" s="1"/>
  <c r="K32" i="22"/>
  <c r="K45" i="22" s="1"/>
  <c r="L32" i="22"/>
  <c r="L45" i="22" s="1"/>
  <c r="H32" i="22"/>
  <c r="H45" i="22" s="1"/>
  <c r="I17" i="22"/>
  <c r="J17" i="22"/>
  <c r="K17" i="22"/>
  <c r="L17" i="22"/>
  <c r="H17" i="22"/>
  <c r="J69" i="18"/>
  <c r="K69" i="18"/>
  <c r="L69" i="18"/>
  <c r="H69" i="18"/>
  <c r="I64" i="18"/>
  <c r="J64" i="18"/>
  <c r="K64" i="18"/>
  <c r="L64" i="18"/>
  <c r="H64" i="18"/>
  <c r="I58" i="18"/>
  <c r="J58" i="18"/>
  <c r="K58" i="18"/>
  <c r="L58" i="18"/>
  <c r="H58" i="18"/>
  <c r="I45" i="18"/>
  <c r="M13" i="33" s="1"/>
  <c r="M16" i="33" s="1"/>
  <c r="J45" i="18"/>
  <c r="N13" i="33" s="1"/>
  <c r="N16" i="33" s="1"/>
  <c r="K45" i="18"/>
  <c r="O13" i="33" s="1"/>
  <c r="O16" i="33" s="1"/>
  <c r="L45" i="18"/>
  <c r="I32" i="18"/>
  <c r="J32" i="18"/>
  <c r="K32" i="18"/>
  <c r="L32" i="18"/>
  <c r="H32" i="18"/>
  <c r="I17" i="18"/>
  <c r="J17" i="18"/>
  <c r="K17" i="18"/>
  <c r="L17" i="18"/>
  <c r="H17" i="18"/>
  <c r="L73" i="18" l="1"/>
  <c r="P13" i="33"/>
  <c r="P16" i="33" s="1"/>
  <c r="M45" i="22"/>
  <c r="Q12" i="37"/>
  <c r="J73" i="18"/>
  <c r="K73" i="18"/>
  <c r="I73" i="18"/>
  <c r="H73" i="18"/>
  <c r="P57" i="34"/>
  <c r="O57" i="34"/>
  <c r="N57" i="34"/>
  <c r="M57" i="34"/>
  <c r="L57" i="34"/>
  <c r="K57" i="34"/>
  <c r="J57" i="34"/>
  <c r="I57" i="34"/>
  <c r="H57" i="34"/>
  <c r="G57" i="34"/>
  <c r="F57" i="34"/>
  <c r="E57" i="34"/>
  <c r="Q58" i="34"/>
  <c r="P33" i="34"/>
  <c r="O33" i="34"/>
  <c r="N33" i="34"/>
  <c r="M33" i="34"/>
  <c r="L33" i="34"/>
  <c r="K33" i="34"/>
  <c r="J33" i="34"/>
  <c r="I33" i="34"/>
  <c r="H33" i="34"/>
  <c r="G33" i="34"/>
  <c r="F33" i="34"/>
  <c r="E33" i="34"/>
  <c r="Q37" i="34"/>
  <c r="L4" i="18"/>
  <c r="P4" i="33" s="1"/>
  <c r="K4" i="18"/>
  <c r="O4" i="33" s="1"/>
  <c r="J4" i="18"/>
  <c r="N4" i="33" s="1"/>
  <c r="I4" i="18"/>
  <c r="M4" i="33" s="1"/>
  <c r="Q33" i="34" l="1"/>
  <c r="Q57" i="34"/>
  <c r="Q21" i="33"/>
  <c r="Q7" i="34" l="1"/>
  <c r="Q6" i="34"/>
  <c r="Q8" i="34"/>
  <c r="L5" i="37" l="1"/>
  <c r="J34" i="37"/>
  <c r="I34" i="37"/>
  <c r="K34" i="37"/>
  <c r="K37" i="37"/>
  <c r="J38" i="37"/>
  <c r="I38" i="37"/>
  <c r="K38" i="37"/>
  <c r="I34" i="36"/>
  <c r="K26" i="36"/>
  <c r="J34" i="36"/>
  <c r="J26" i="37"/>
  <c r="K26" i="37"/>
  <c r="J26" i="36"/>
  <c r="I26" i="36"/>
  <c r="K34" i="36"/>
  <c r="I26" i="37"/>
  <c r="I18" i="36"/>
  <c r="I38" i="36" s="1"/>
  <c r="J18" i="36"/>
  <c r="J38" i="36" s="1"/>
  <c r="F37" i="25"/>
  <c r="F35" i="25"/>
  <c r="K52" i="23"/>
  <c r="J52" i="23"/>
  <c r="I52" i="23"/>
  <c r="H52" i="23"/>
  <c r="G52" i="23"/>
  <c r="K34" i="23"/>
  <c r="J34" i="23"/>
  <c r="I34" i="23"/>
  <c r="H34" i="23"/>
  <c r="G34" i="23"/>
  <c r="H16" i="23"/>
  <c r="I16" i="23"/>
  <c r="J16" i="23"/>
  <c r="K16" i="23"/>
  <c r="G16" i="23"/>
  <c r="I19" i="36" l="1"/>
  <c r="I27" i="36" s="1"/>
  <c r="I35" i="36" s="1"/>
  <c r="J19" i="36"/>
  <c r="J27" i="36" s="1"/>
  <c r="J35" i="36" s="1"/>
  <c r="J19" i="37"/>
  <c r="J27" i="37" s="1"/>
  <c r="J35" i="37" s="1"/>
  <c r="J37" i="37"/>
  <c r="K18" i="36"/>
  <c r="K38" i="36" s="1"/>
  <c r="K19" i="37"/>
  <c r="K27" i="37" s="1"/>
  <c r="K35" i="37" s="1"/>
  <c r="I19" i="37"/>
  <c r="I27" i="37" s="1"/>
  <c r="I35" i="37" s="1"/>
  <c r="I37" i="37"/>
  <c r="H1" i="33"/>
  <c r="K37" i="36" l="1"/>
  <c r="J37" i="36"/>
  <c r="I37" i="36"/>
  <c r="Q61" i="34"/>
  <c r="K19" i="36" l="1"/>
  <c r="K27" i="36" s="1"/>
  <c r="K35" i="36" s="1"/>
  <c r="Q53" i="33" l="1"/>
  <c r="Q47" i="33"/>
  <c r="Q41" i="33"/>
  <c r="Q38" i="33"/>
  <c r="Q28" i="33"/>
  <c r="Q27" i="33"/>
  <c r="Q26" i="33"/>
  <c r="Q14" i="33"/>
  <c r="Q7" i="33"/>
  <c r="Q5" i="33"/>
  <c r="Q52" i="33" l="1"/>
  <c r="Q55" i="33" s="1"/>
  <c r="Q32" i="33"/>
  <c r="I52" i="33"/>
  <c r="I55" i="33" s="1"/>
  <c r="M52" i="33"/>
  <c r="M55" i="33" s="1"/>
  <c r="J42" i="33"/>
  <c r="J46" i="33" s="1"/>
  <c r="K52" i="33"/>
  <c r="K55" i="33" s="1"/>
  <c r="O52" i="33"/>
  <c r="O55" i="33" s="1"/>
  <c r="I42" i="33"/>
  <c r="I46" i="33" s="1"/>
  <c r="J52" i="33"/>
  <c r="J55" i="33" s="1"/>
  <c r="N52" i="33"/>
  <c r="N55" i="33" s="1"/>
  <c r="K42" i="33"/>
  <c r="K46" i="33" s="1"/>
  <c r="L52" i="33"/>
  <c r="L55" i="33" s="1"/>
  <c r="P52" i="33"/>
  <c r="P55" i="33" s="1"/>
  <c r="I56" i="33" l="1"/>
  <c r="I58" i="33" s="1"/>
  <c r="K56" i="33"/>
  <c r="K58" i="33" s="1"/>
  <c r="J56" i="33"/>
  <c r="J58" i="33" s="1"/>
  <c r="J17" i="33"/>
  <c r="J19" i="33" s="1"/>
  <c r="J32" i="41" s="1"/>
  <c r="K17" i="33"/>
  <c r="K19" i="33" s="1"/>
  <c r="K32" i="41" s="1"/>
  <c r="I17" i="33"/>
  <c r="I19" i="33" s="1"/>
  <c r="I32" i="41" s="1"/>
  <c r="M31" i="37"/>
  <c r="M33" i="37" s="1"/>
  <c r="N31" i="37"/>
  <c r="N33" i="37" s="1"/>
  <c r="O31" i="37"/>
  <c r="O33" i="37" s="1"/>
  <c r="P31" i="37"/>
  <c r="P33" i="37" s="1"/>
  <c r="Q31" i="37"/>
  <c r="Q33" i="37" s="1"/>
  <c r="L31" i="37"/>
  <c r="L33" i="37" s="1"/>
  <c r="M28" i="37"/>
  <c r="M30" i="37" s="1"/>
  <c r="N28" i="37"/>
  <c r="N30" i="37" s="1"/>
  <c r="O28" i="37"/>
  <c r="O30" i="37" s="1"/>
  <c r="P28" i="37"/>
  <c r="P30" i="37" s="1"/>
  <c r="Q28" i="37"/>
  <c r="Q30" i="37" s="1"/>
  <c r="L28" i="37"/>
  <c r="L30" i="37" s="1"/>
  <c r="M23" i="37"/>
  <c r="M25" i="37" s="1"/>
  <c r="N23" i="37"/>
  <c r="N25" i="37" s="1"/>
  <c r="O23" i="37"/>
  <c r="O25" i="37" s="1"/>
  <c r="P23" i="37"/>
  <c r="P25" i="37" s="1"/>
  <c r="Q23" i="37"/>
  <c r="Q25" i="37" s="1"/>
  <c r="L23" i="37"/>
  <c r="L25" i="37" s="1"/>
  <c r="Q22" i="37"/>
  <c r="M17" i="37"/>
  <c r="N17" i="37"/>
  <c r="O17" i="37"/>
  <c r="P17" i="37"/>
  <c r="L17" i="37"/>
  <c r="M16" i="37"/>
  <c r="N16" i="37"/>
  <c r="O16" i="37"/>
  <c r="P16" i="37"/>
  <c r="L16" i="37"/>
  <c r="M14" i="37"/>
  <c r="N14" i="37"/>
  <c r="O14" i="37"/>
  <c r="P14" i="37"/>
  <c r="L14" i="37"/>
  <c r="M13" i="37"/>
  <c r="N13" i="37"/>
  <c r="O13" i="37"/>
  <c r="P13" i="37"/>
  <c r="Q13" i="37"/>
  <c r="Q18" i="37" s="1"/>
  <c r="L13" i="37"/>
  <c r="M6" i="37"/>
  <c r="N6" i="37"/>
  <c r="O6" i="37"/>
  <c r="P6" i="37"/>
  <c r="Q6" i="37"/>
  <c r="L6" i="37"/>
  <c r="I1" i="37"/>
  <c r="M31" i="36"/>
  <c r="M33" i="36" s="1"/>
  <c r="N31" i="36"/>
  <c r="N33" i="36" s="1"/>
  <c r="O31" i="36"/>
  <c r="O33" i="36" s="1"/>
  <c r="P31" i="36"/>
  <c r="P33" i="36" s="1"/>
  <c r="Q31" i="36"/>
  <c r="Q33" i="36" s="1"/>
  <c r="L31" i="36"/>
  <c r="L33" i="36" s="1"/>
  <c r="M28" i="36"/>
  <c r="M30" i="36" s="1"/>
  <c r="N28" i="36"/>
  <c r="N30" i="36" s="1"/>
  <c r="O28" i="36"/>
  <c r="O30" i="36" s="1"/>
  <c r="P28" i="36"/>
  <c r="P30" i="36" s="1"/>
  <c r="Q28" i="36"/>
  <c r="L28" i="36"/>
  <c r="L30" i="36" s="1"/>
  <c r="M23" i="36"/>
  <c r="M25" i="36" s="1"/>
  <c r="N23" i="36"/>
  <c r="N25" i="36" s="1"/>
  <c r="O23" i="36"/>
  <c r="O25" i="36" s="1"/>
  <c r="P23" i="36"/>
  <c r="P25" i="36" s="1"/>
  <c r="Q23" i="36"/>
  <c r="Q25" i="36" s="1"/>
  <c r="L23" i="36"/>
  <c r="L25" i="36" s="1"/>
  <c r="M17" i="36"/>
  <c r="N17" i="36"/>
  <c r="O17" i="36"/>
  <c r="P17" i="36"/>
  <c r="Q17" i="36"/>
  <c r="L17" i="36"/>
  <c r="M16" i="36"/>
  <c r="N16" i="36"/>
  <c r="O16" i="36"/>
  <c r="P16" i="36"/>
  <c r="Q16" i="36"/>
  <c r="L16" i="36"/>
  <c r="M14" i="36"/>
  <c r="N14" i="36"/>
  <c r="O14" i="36"/>
  <c r="P14" i="36"/>
  <c r="Q14" i="36"/>
  <c r="L14" i="36"/>
  <c r="M13" i="36"/>
  <c r="N13" i="36"/>
  <c r="O13" i="36"/>
  <c r="P13" i="36"/>
  <c r="Q13" i="36"/>
  <c r="L13" i="36"/>
  <c r="J34" i="41" l="1"/>
  <c r="J33" i="41"/>
  <c r="K33" i="41"/>
  <c r="K34" i="41"/>
  <c r="I34" i="41"/>
  <c r="I33" i="41"/>
  <c r="Q34" i="37"/>
  <c r="Q30" i="36"/>
  <c r="Q34" i="36" s="1"/>
  <c r="Q26" i="37"/>
  <c r="P34" i="37"/>
  <c r="M34" i="37"/>
  <c r="O34" i="37"/>
  <c r="L34" i="37"/>
  <c r="N34" i="37"/>
  <c r="N34" i="36"/>
  <c r="P34" i="36"/>
  <c r="L34" i="36"/>
  <c r="O34" i="36"/>
  <c r="M26" i="36"/>
  <c r="L26" i="37"/>
  <c r="M26" i="37"/>
  <c r="N26" i="37"/>
  <c r="P26" i="37"/>
  <c r="M34" i="36"/>
  <c r="P26" i="36"/>
  <c r="O26" i="37"/>
  <c r="Q26" i="36"/>
  <c r="N26" i="36"/>
  <c r="L26" i="36"/>
  <c r="O26" i="36"/>
  <c r="I1" i="36"/>
  <c r="M6" i="36"/>
  <c r="N6" i="36"/>
  <c r="O6" i="36"/>
  <c r="P6" i="36"/>
  <c r="Q6" i="36"/>
  <c r="L6" i="36"/>
  <c r="Q59" i="34" l="1"/>
  <c r="Q60" i="34"/>
  <c r="Q62" i="34"/>
  <c r="Q34" i="34"/>
  <c r="Q35" i="34"/>
  <c r="Q36" i="34"/>
  <c r="Q38" i="34"/>
  <c r="Q24" i="34"/>
  <c r="F18" i="34"/>
  <c r="G18" i="34"/>
  <c r="H18" i="34"/>
  <c r="I18" i="34"/>
  <c r="J18" i="34"/>
  <c r="K18" i="34"/>
  <c r="L18" i="34"/>
  <c r="M18" i="34"/>
  <c r="N18" i="34"/>
  <c r="O18" i="34"/>
  <c r="P18" i="34"/>
  <c r="E18" i="34"/>
  <c r="Q18" i="34" l="1"/>
  <c r="E1" i="34"/>
  <c r="Q66" i="34" l="1"/>
  <c r="Q65" i="34"/>
  <c r="Q64" i="34"/>
  <c r="P63" i="34"/>
  <c r="O63" i="34"/>
  <c r="N63" i="34"/>
  <c r="M63" i="34"/>
  <c r="L63" i="34"/>
  <c r="K63" i="34"/>
  <c r="J63" i="34"/>
  <c r="I63" i="34"/>
  <c r="H63" i="34"/>
  <c r="G63" i="34"/>
  <c r="F63" i="34"/>
  <c r="E63" i="34"/>
  <c r="Q56" i="34"/>
  <c r="Q55" i="34"/>
  <c r="Q54" i="34"/>
  <c r="Q53" i="34"/>
  <c r="Q52" i="34"/>
  <c r="Q51" i="34"/>
  <c r="Q50" i="34"/>
  <c r="Q49" i="34"/>
  <c r="Q48" i="34"/>
  <c r="Q47" i="34"/>
  <c r="Q46" i="34"/>
  <c r="Q45" i="34"/>
  <c r="P44" i="34"/>
  <c r="O44" i="34"/>
  <c r="N44" i="34"/>
  <c r="M44" i="34"/>
  <c r="L44" i="34"/>
  <c r="K44" i="34"/>
  <c r="J44" i="34"/>
  <c r="I44" i="34"/>
  <c r="H44" i="34"/>
  <c r="G44" i="34"/>
  <c r="F44" i="34"/>
  <c r="E44" i="34"/>
  <c r="Q32" i="34"/>
  <c r="Q31" i="34"/>
  <c r="Q30" i="34"/>
  <c r="Q29" i="34"/>
  <c r="P28" i="34"/>
  <c r="O28" i="34"/>
  <c r="N28" i="34"/>
  <c r="M28" i="34"/>
  <c r="L28" i="34"/>
  <c r="K28" i="34"/>
  <c r="J28" i="34"/>
  <c r="I28" i="34"/>
  <c r="H28" i="34"/>
  <c r="G28" i="34"/>
  <c r="F28" i="34"/>
  <c r="E28" i="34"/>
  <c r="Q27" i="34"/>
  <c r="Q26" i="34"/>
  <c r="P25" i="34"/>
  <c r="O25" i="34"/>
  <c r="N25" i="34"/>
  <c r="M25" i="34"/>
  <c r="L25" i="34"/>
  <c r="K25" i="34"/>
  <c r="J25" i="34"/>
  <c r="I25" i="34"/>
  <c r="H25" i="34"/>
  <c r="G25" i="34"/>
  <c r="F25" i="34"/>
  <c r="E25" i="34"/>
  <c r="Q23" i="34"/>
  <c r="P13" i="34"/>
  <c r="P12" i="34" s="1"/>
  <c r="O13" i="34"/>
  <c r="O12" i="34" s="1"/>
  <c r="N13" i="34"/>
  <c r="N12" i="34" s="1"/>
  <c r="M13" i="34"/>
  <c r="M12" i="34" s="1"/>
  <c r="L13" i="34"/>
  <c r="L12" i="34" s="1"/>
  <c r="K13" i="34"/>
  <c r="K12" i="34" s="1"/>
  <c r="J13" i="34"/>
  <c r="J12" i="34" s="1"/>
  <c r="I13" i="34"/>
  <c r="I12" i="34" s="1"/>
  <c r="H13" i="34"/>
  <c r="H12" i="34" s="1"/>
  <c r="G13" i="34"/>
  <c r="G12" i="34" s="1"/>
  <c r="F13" i="34"/>
  <c r="F12" i="34" s="1"/>
  <c r="E13" i="34"/>
  <c r="P9" i="34"/>
  <c r="O9" i="34"/>
  <c r="N9" i="34"/>
  <c r="M9" i="34"/>
  <c r="L9" i="34"/>
  <c r="K9" i="34"/>
  <c r="J9" i="34"/>
  <c r="I9" i="34"/>
  <c r="H9" i="34"/>
  <c r="G9" i="34"/>
  <c r="F9" i="34"/>
  <c r="E9" i="34"/>
  <c r="Q13" i="34" l="1"/>
  <c r="Q44" i="34"/>
  <c r="N73" i="34"/>
  <c r="G73" i="34"/>
  <c r="K73" i="34"/>
  <c r="Q28" i="34"/>
  <c r="Q63" i="34"/>
  <c r="Q9" i="34"/>
  <c r="Q25" i="34"/>
  <c r="L33" i="33"/>
  <c r="L35" i="33" s="1"/>
  <c r="P33" i="33"/>
  <c r="P35" i="33" s="1"/>
  <c r="K33" i="33"/>
  <c r="K35" i="33" s="1"/>
  <c r="K36" i="33" s="1"/>
  <c r="K59" i="33" s="1"/>
  <c r="O33" i="33"/>
  <c r="O35" i="33" s="1"/>
  <c r="I33" i="33"/>
  <c r="I35" i="33" s="1"/>
  <c r="I36" i="33" s="1"/>
  <c r="I59" i="33" s="1"/>
  <c r="M33" i="33"/>
  <c r="M35" i="33" s="1"/>
  <c r="J33" i="33"/>
  <c r="J35" i="33" s="1"/>
  <c r="J36" i="33" s="1"/>
  <c r="J59" i="33" s="1"/>
  <c r="N33" i="33"/>
  <c r="N35" i="33" s="1"/>
  <c r="E12" i="34"/>
  <c r="Q12" i="34" s="1"/>
  <c r="O73" i="34" l="1"/>
  <c r="Q43" i="34"/>
  <c r="F73" i="34"/>
  <c r="J73" i="34"/>
  <c r="I73" i="34"/>
  <c r="M73" i="34"/>
  <c r="Q72" i="34"/>
  <c r="P73" i="34"/>
  <c r="L73" i="34"/>
  <c r="H73" i="34"/>
  <c r="E74" i="34" l="1"/>
  <c r="F4" i="34" s="1"/>
  <c r="F74" i="34" s="1"/>
  <c r="G4" i="34" s="1"/>
  <c r="G74" i="34" s="1"/>
  <c r="H4" i="34" s="1"/>
  <c r="H74" i="34" s="1"/>
  <c r="I4" i="34" s="1"/>
  <c r="I74" i="34" s="1"/>
  <c r="J4" i="34" s="1"/>
  <c r="J74" i="34" s="1"/>
  <c r="K4" i="34" s="1"/>
  <c r="K74" i="34" s="1"/>
  <c r="L4" i="34" s="1"/>
  <c r="L74" i="34" s="1"/>
  <c r="M4" i="34" s="1"/>
  <c r="M74" i="34" s="1"/>
  <c r="N4" i="34" s="1"/>
  <c r="N74" i="34" s="1"/>
  <c r="O4" i="34" s="1"/>
  <c r="O74" i="34" s="1"/>
  <c r="P4" i="34" s="1"/>
  <c r="P74" i="34" s="1"/>
  <c r="Q73" i="34"/>
  <c r="Q74" i="34" s="1"/>
  <c r="H8" i="22" l="1"/>
  <c r="I8" i="22"/>
  <c r="H12" i="22"/>
  <c r="H11" i="22" s="1"/>
  <c r="I12" i="22"/>
  <c r="I11" i="22" s="1"/>
  <c r="H24" i="22"/>
  <c r="I24" i="22"/>
  <c r="H27" i="22"/>
  <c r="I27" i="22"/>
  <c r="H31" i="22" l="1"/>
  <c r="I31" i="22"/>
  <c r="L37" i="37"/>
  <c r="M5" i="37"/>
  <c r="B29" i="23"/>
  <c r="B28" i="23"/>
  <c r="C16" i="23"/>
  <c r="M8" i="18"/>
  <c r="M8" i="22"/>
  <c r="N37" i="25"/>
  <c r="N35" i="25"/>
  <c r="N34" i="25"/>
  <c r="N69" i="25" s="1"/>
  <c r="N68" i="25" s="1"/>
  <c r="B8" i="26"/>
  <c r="J8" i="22"/>
  <c r="K8" i="22"/>
  <c r="L8" i="22"/>
  <c r="J12" i="22"/>
  <c r="J11" i="22" s="1"/>
  <c r="K12" i="22"/>
  <c r="K11" i="22" s="1"/>
  <c r="L12" i="22"/>
  <c r="L11" i="22" s="1"/>
  <c r="M12" i="22"/>
  <c r="M11" i="22" s="1"/>
  <c r="J24" i="22"/>
  <c r="K24" i="22"/>
  <c r="L24" i="22"/>
  <c r="M24" i="22"/>
  <c r="L12" i="37"/>
  <c r="L18" i="37" s="1"/>
  <c r="L38" i="37" s="1"/>
  <c r="M12" i="37"/>
  <c r="M18" i="37" s="1"/>
  <c r="M38" i="37" s="1"/>
  <c r="N12" i="37"/>
  <c r="N18" i="37" s="1"/>
  <c r="N38" i="37" s="1"/>
  <c r="O12" i="37"/>
  <c r="O18" i="37" s="1"/>
  <c r="O38" i="37" s="1"/>
  <c r="P12" i="37"/>
  <c r="P18" i="37" s="1"/>
  <c r="P38" i="37" s="1"/>
  <c r="M27" i="18"/>
  <c r="L8" i="18"/>
  <c r="P7" i="36" s="1"/>
  <c r="L12" i="18"/>
  <c r="L11" i="18" s="1"/>
  <c r="L24" i="18"/>
  <c r="L27" i="18"/>
  <c r="L38" i="18"/>
  <c r="K8" i="18"/>
  <c r="O7" i="36" s="1"/>
  <c r="K12" i="18"/>
  <c r="K11" i="18" s="1"/>
  <c r="K24" i="18"/>
  <c r="K27" i="18"/>
  <c r="K38" i="18"/>
  <c r="J8" i="18"/>
  <c r="N7" i="36" s="1"/>
  <c r="J12" i="18"/>
  <c r="J11" i="18" s="1"/>
  <c r="J24" i="18"/>
  <c r="J27" i="18"/>
  <c r="J38" i="18"/>
  <c r="I8" i="18"/>
  <c r="M7" i="36" s="1"/>
  <c r="I12" i="18"/>
  <c r="I11" i="18" s="1"/>
  <c r="I24" i="18"/>
  <c r="I27" i="18"/>
  <c r="I38" i="18"/>
  <c r="H8" i="18"/>
  <c r="L7" i="36" s="1"/>
  <c r="H11" i="18"/>
  <c r="H24" i="18"/>
  <c r="H27" i="18"/>
  <c r="H38" i="18"/>
  <c r="M12" i="18"/>
  <c r="M11" i="18" s="1"/>
  <c r="M24" i="18"/>
  <c r="M38" i="18"/>
  <c r="N70" i="25"/>
  <c r="N62" i="25"/>
  <c r="N38" i="25"/>
  <c r="N65" i="25"/>
  <c r="N64" i="25"/>
  <c r="B47" i="26"/>
  <c r="C44" i="26" s="1"/>
  <c r="C47" i="26" s="1"/>
  <c r="D44" i="26" s="1"/>
  <c r="D47" i="26" s="1"/>
  <c r="E44" i="26" s="1"/>
  <c r="E47" i="26" s="1"/>
  <c r="F44" i="26" s="1"/>
  <c r="F47" i="26" s="1"/>
  <c r="G44" i="26" s="1"/>
  <c r="G47" i="26" s="1"/>
  <c r="H44" i="26" s="1"/>
  <c r="H47" i="26" s="1"/>
  <c r="I44" i="26" s="1"/>
  <c r="I47" i="26" s="1"/>
  <c r="J47" i="26"/>
  <c r="B42" i="26"/>
  <c r="C39" i="26" s="1"/>
  <c r="C42" i="26" s="1"/>
  <c r="D39" i="26" s="1"/>
  <c r="D42" i="26" s="1"/>
  <c r="E39" i="26" s="1"/>
  <c r="E42" i="26" s="1"/>
  <c r="F39" i="26" s="1"/>
  <c r="F42" i="26" s="1"/>
  <c r="G39" i="26" s="1"/>
  <c r="G42" i="26" s="1"/>
  <c r="H39" i="26" s="1"/>
  <c r="H42" i="26" s="1"/>
  <c r="I39" i="26" s="1"/>
  <c r="I42" i="26" s="1"/>
  <c r="B30" i="26"/>
  <c r="C27" i="26" s="1"/>
  <c r="C30" i="26" s="1"/>
  <c r="D27" i="26" s="1"/>
  <c r="D30" i="26" s="1"/>
  <c r="E27" i="26" s="1"/>
  <c r="E30" i="26" s="1"/>
  <c r="F27" i="26" s="1"/>
  <c r="F30" i="26" s="1"/>
  <c r="G27" i="26" s="1"/>
  <c r="G30" i="26" s="1"/>
  <c r="H27" i="26" s="1"/>
  <c r="H30" i="26" s="1"/>
  <c r="I27" i="26" s="1"/>
  <c r="I30" i="26" s="1"/>
  <c r="B25" i="26"/>
  <c r="C22" i="26" s="1"/>
  <c r="C25" i="26" s="1"/>
  <c r="D22" i="26" s="1"/>
  <c r="D25" i="26" s="1"/>
  <c r="E22" i="26" s="1"/>
  <c r="E25" i="26" s="1"/>
  <c r="F22" i="26" s="1"/>
  <c r="F25" i="26" s="1"/>
  <c r="G22" i="26" s="1"/>
  <c r="G25" i="26" s="1"/>
  <c r="H22" i="26" s="1"/>
  <c r="H25" i="26" s="1"/>
  <c r="I22" i="26" s="1"/>
  <c r="I25" i="26" s="1"/>
  <c r="B13" i="26"/>
  <c r="M34" i="25"/>
  <c r="M69" i="25" s="1"/>
  <c r="M35" i="25"/>
  <c r="M38" i="25"/>
  <c r="M70" i="25"/>
  <c r="M62" i="25"/>
  <c r="M65" i="25"/>
  <c r="F52" i="23"/>
  <c r="E52" i="23"/>
  <c r="D52" i="23"/>
  <c r="C52" i="23"/>
  <c r="B51" i="23"/>
  <c r="B50" i="23"/>
  <c r="B49" i="23"/>
  <c r="B48" i="23"/>
  <c r="B47" i="23"/>
  <c r="B46" i="23"/>
  <c r="F34" i="23"/>
  <c r="E34" i="23"/>
  <c r="D34" i="23"/>
  <c r="C34" i="23"/>
  <c r="B33" i="23"/>
  <c r="B32" i="23"/>
  <c r="B31" i="23"/>
  <c r="B30" i="23"/>
  <c r="B15" i="23"/>
  <c r="B14" i="23"/>
  <c r="B13" i="23"/>
  <c r="B12" i="23"/>
  <c r="B11" i="23"/>
  <c r="G37" i="25"/>
  <c r="G64" i="25"/>
  <c r="F64" i="25"/>
  <c r="F73" i="25" s="1"/>
  <c r="G38" i="25"/>
  <c r="G65" i="25"/>
  <c r="F38" i="25"/>
  <c r="F65" i="25"/>
  <c r="G35" i="25"/>
  <c r="G62" i="25"/>
  <c r="F62" i="25"/>
  <c r="F71" i="25" s="1"/>
  <c r="G70" i="25"/>
  <c r="F70" i="25"/>
  <c r="G34" i="25"/>
  <c r="G69" i="25" s="1"/>
  <c r="F34" i="25"/>
  <c r="F69" i="25" s="1"/>
  <c r="H34" i="25"/>
  <c r="H69" i="25" s="1"/>
  <c r="H38" i="25"/>
  <c r="B39" i="20"/>
  <c r="A39" i="20"/>
  <c r="E1" i="18"/>
  <c r="E1" i="22"/>
  <c r="J27" i="22"/>
  <c r="K27" i="22"/>
  <c r="L27" i="22"/>
  <c r="E1" i="25"/>
  <c r="B1" i="26"/>
  <c r="B1" i="23"/>
  <c r="I38" i="25"/>
  <c r="I65" i="25"/>
  <c r="J38" i="25"/>
  <c r="J65" i="25"/>
  <c r="K38" i="25"/>
  <c r="K65" i="25"/>
  <c r="L38" i="25"/>
  <c r="L65" i="25"/>
  <c r="H65" i="25"/>
  <c r="I35" i="25"/>
  <c r="I62" i="25"/>
  <c r="J35" i="25"/>
  <c r="J62" i="25"/>
  <c r="J71" i="25" s="1"/>
  <c r="K35" i="25"/>
  <c r="K62" i="25"/>
  <c r="L35" i="25"/>
  <c r="L62" i="25"/>
  <c r="H35" i="25"/>
  <c r="H62" i="25"/>
  <c r="I34" i="25"/>
  <c r="I69" i="25" s="1"/>
  <c r="J34" i="25"/>
  <c r="J69" i="25" s="1"/>
  <c r="K34" i="25"/>
  <c r="K69" i="25" s="1"/>
  <c r="L34" i="25"/>
  <c r="L69" i="25" s="1"/>
  <c r="I70" i="25"/>
  <c r="J70" i="25"/>
  <c r="K70" i="25"/>
  <c r="L70" i="25"/>
  <c r="H64" i="25"/>
  <c r="H70" i="25"/>
  <c r="H37" i="25"/>
  <c r="D16" i="23"/>
  <c r="E16" i="23"/>
  <c r="F46" i="22"/>
  <c r="G46" i="22"/>
  <c r="F16" i="23"/>
  <c r="K71" i="25" l="1"/>
  <c r="M72" i="25"/>
  <c r="L10" i="36"/>
  <c r="L10" i="33"/>
  <c r="M37" i="33"/>
  <c r="M42" i="33" s="1"/>
  <c r="M46" i="33" s="1"/>
  <c r="M56" i="33" s="1"/>
  <c r="M58" i="33" s="1"/>
  <c r="M8" i="36"/>
  <c r="M8" i="33"/>
  <c r="N10" i="36"/>
  <c r="N10" i="33"/>
  <c r="O37" i="33"/>
  <c r="O42" i="33" s="1"/>
  <c r="O46" i="33" s="1"/>
  <c r="O56" i="33" s="1"/>
  <c r="O58" i="33" s="1"/>
  <c r="O8" i="33"/>
  <c r="O8" i="36"/>
  <c r="P10" i="36"/>
  <c r="P10" i="33"/>
  <c r="M42" i="18"/>
  <c r="L37" i="33"/>
  <c r="L42" i="33" s="1"/>
  <c r="L46" i="33" s="1"/>
  <c r="L56" i="33" s="1"/>
  <c r="L58" i="33" s="1"/>
  <c r="L8" i="33"/>
  <c r="L8" i="36"/>
  <c r="M10" i="36"/>
  <c r="M10" i="33"/>
  <c r="N37" i="33"/>
  <c r="N42" i="33" s="1"/>
  <c r="N46" i="33" s="1"/>
  <c r="N56" i="33" s="1"/>
  <c r="N58" i="33" s="1"/>
  <c r="N8" i="36"/>
  <c r="N8" i="33"/>
  <c r="O10" i="36"/>
  <c r="O10" i="33"/>
  <c r="P37" i="33"/>
  <c r="P42" i="33" s="1"/>
  <c r="P46" i="33" s="1"/>
  <c r="P56" i="33" s="1"/>
  <c r="P58" i="33" s="1"/>
  <c r="P8" i="36"/>
  <c r="P8" i="33"/>
  <c r="Q37" i="33"/>
  <c r="Q42" i="33" s="1"/>
  <c r="Q46" i="33" s="1"/>
  <c r="Q56" i="33" s="1"/>
  <c r="Q58" i="33" s="1"/>
  <c r="M31" i="22"/>
  <c r="L71" i="25"/>
  <c r="N72" i="25"/>
  <c r="L72" i="25"/>
  <c r="M71" i="25"/>
  <c r="M46" i="22"/>
  <c r="K72" i="25"/>
  <c r="C10" i="26"/>
  <c r="C13" i="26" s="1"/>
  <c r="D10" i="26" s="1"/>
  <c r="D13" i="26" s="1"/>
  <c r="Q10" i="36"/>
  <c r="Q10" i="33"/>
  <c r="J42" i="18"/>
  <c r="L42" i="18"/>
  <c r="L68" i="25"/>
  <c r="J68" i="25"/>
  <c r="K68" i="25"/>
  <c r="N71" i="25"/>
  <c r="Q8" i="36"/>
  <c r="Q8" i="33"/>
  <c r="I42" i="18"/>
  <c r="K42" i="18"/>
  <c r="C5" i="26"/>
  <c r="C8" i="26" s="1"/>
  <c r="D5" i="26" s="1"/>
  <c r="D8" i="26" s="1"/>
  <c r="N73" i="25"/>
  <c r="Q7" i="36"/>
  <c r="H42" i="18"/>
  <c r="M68" i="25"/>
  <c r="J31" i="22"/>
  <c r="J46" i="22" s="1"/>
  <c r="L31" i="22"/>
  <c r="L46" i="22" s="1"/>
  <c r="K31" i="22"/>
  <c r="K46" i="22" s="1"/>
  <c r="Q5" i="37"/>
  <c r="Q19" i="37" s="1"/>
  <c r="F68" i="25"/>
  <c r="G71" i="25"/>
  <c r="G72" i="25"/>
  <c r="H73" i="25"/>
  <c r="G68" i="25"/>
  <c r="F72" i="25"/>
  <c r="H68" i="25"/>
  <c r="Q12" i="36"/>
  <c r="H46" i="22"/>
  <c r="L19" i="37"/>
  <c r="L27" i="37" s="1"/>
  <c r="L35" i="37" s="1"/>
  <c r="P5" i="37"/>
  <c r="O5" i="37"/>
  <c r="N5" i="37"/>
  <c r="M19" i="37"/>
  <c r="M27" i="37" s="1"/>
  <c r="M35" i="37" s="1"/>
  <c r="M37" i="37"/>
  <c r="Q13" i="33"/>
  <c r="Q16" i="33" s="1"/>
  <c r="P12" i="36"/>
  <c r="P18" i="36" s="1"/>
  <c r="P38" i="36" s="1"/>
  <c r="O12" i="36"/>
  <c r="O18" i="36" s="1"/>
  <c r="O38" i="36" s="1"/>
  <c r="N12" i="36"/>
  <c r="N18" i="36" s="1"/>
  <c r="N38" i="36" s="1"/>
  <c r="M12" i="36"/>
  <c r="M18" i="36" s="1"/>
  <c r="M38" i="36" s="1"/>
  <c r="L12" i="36"/>
  <c r="L18" i="36" s="1"/>
  <c r="L38" i="36" s="1"/>
  <c r="Q4" i="33"/>
  <c r="Q5" i="36"/>
  <c r="I64" i="25"/>
  <c r="G73" i="25"/>
  <c r="I37" i="25"/>
  <c r="P5" i="36"/>
  <c r="O5" i="36"/>
  <c r="N5" i="36"/>
  <c r="M5" i="36"/>
  <c r="L5" i="36"/>
  <c r="J64" i="25"/>
  <c r="K64" i="25"/>
  <c r="I71" i="25"/>
  <c r="J37" i="25"/>
  <c r="H72" i="25"/>
  <c r="H71" i="25"/>
  <c r="M64" i="25"/>
  <c r="L64" i="25"/>
  <c r="I68" i="25"/>
  <c r="I46" i="22"/>
  <c r="J72" i="25"/>
  <c r="I72" i="25"/>
  <c r="M11" i="36" l="1"/>
  <c r="M37" i="36" s="1"/>
  <c r="O11" i="36"/>
  <c r="O37" i="36" s="1"/>
  <c r="P11" i="36"/>
  <c r="P12" i="33"/>
  <c r="Q11" i="36"/>
  <c r="N11" i="36"/>
  <c r="N19" i="36" s="1"/>
  <c r="N27" i="36" s="1"/>
  <c r="N35" i="36" s="1"/>
  <c r="L11" i="36"/>
  <c r="L19" i="36" s="1"/>
  <c r="L27" i="36" s="1"/>
  <c r="L35" i="36" s="1"/>
  <c r="L12" i="33"/>
  <c r="L17" i="33" s="1"/>
  <c r="L19" i="33" s="1"/>
  <c r="L32" i="41" s="1"/>
  <c r="N12" i="33"/>
  <c r="N17" i="33" s="1"/>
  <c r="N19" i="33" s="1"/>
  <c r="N32" i="41" s="1"/>
  <c r="M12" i="33"/>
  <c r="M17" i="33" s="1"/>
  <c r="M19" i="33" s="1"/>
  <c r="M32" i="41" s="1"/>
  <c r="M76" i="18"/>
  <c r="M44" i="18"/>
  <c r="M74" i="18" s="1"/>
  <c r="M75" i="18" s="1"/>
  <c r="O12" i="33"/>
  <c r="O17" i="33" s="1"/>
  <c r="O19" i="33" s="1"/>
  <c r="O32" i="41" s="1"/>
  <c r="I73" i="25"/>
  <c r="Q37" i="37"/>
  <c r="Q18" i="36"/>
  <c r="Q38" i="36" s="1"/>
  <c r="P37" i="36"/>
  <c r="J73" i="25"/>
  <c r="Q12" i="33"/>
  <c r="Q38" i="37"/>
  <c r="P19" i="37"/>
  <c r="P27" i="37" s="1"/>
  <c r="P35" i="37" s="1"/>
  <c r="P37" i="37"/>
  <c r="O19" i="37"/>
  <c r="O27" i="37" s="1"/>
  <c r="O35" i="37" s="1"/>
  <c r="O37" i="37"/>
  <c r="N19" i="37"/>
  <c r="N27" i="37" s="1"/>
  <c r="N35" i="37" s="1"/>
  <c r="N37" i="37"/>
  <c r="L76" i="18"/>
  <c r="K76" i="18"/>
  <c r="J76" i="18"/>
  <c r="P17" i="33"/>
  <c r="P19" i="33" s="1"/>
  <c r="P32" i="41" s="1"/>
  <c r="E10" i="26"/>
  <c r="E13" i="26" s="1"/>
  <c r="E5" i="26"/>
  <c r="E8" i="26" s="1"/>
  <c r="M37" i="25"/>
  <c r="M73" i="25" s="1"/>
  <c r="L37" i="25"/>
  <c r="L73" i="25" s="1"/>
  <c r="K37" i="25"/>
  <c r="K73" i="25" s="1"/>
  <c r="O33" i="41" l="1"/>
  <c r="O34" i="41"/>
  <c r="P34" i="41"/>
  <c r="P33" i="41"/>
  <c r="N34" i="41"/>
  <c r="N33" i="41"/>
  <c r="M33" i="41"/>
  <c r="M34" i="41"/>
  <c r="L34" i="41"/>
  <c r="L33" i="41"/>
  <c r="Q17" i="33"/>
  <c r="Q19" i="33" s="1"/>
  <c r="Q32" i="41" s="1"/>
  <c r="Q19" i="36"/>
  <c r="Q27" i="36" s="1"/>
  <c r="Q35" i="36" s="1"/>
  <c r="P36" i="33"/>
  <c r="P59" i="33" s="1"/>
  <c r="M36" i="33"/>
  <c r="M59" i="33" s="1"/>
  <c r="L36" i="33"/>
  <c r="L59" i="33" s="1"/>
  <c r="M19" i="36"/>
  <c r="M27" i="36" s="1"/>
  <c r="M35" i="36" s="1"/>
  <c r="Q27" i="37"/>
  <c r="Q35" i="37" s="1"/>
  <c r="Q37" i="36"/>
  <c r="N37" i="36"/>
  <c r="P19" i="36"/>
  <c r="P27" i="36" s="1"/>
  <c r="P35" i="36" s="1"/>
  <c r="O19" i="36"/>
  <c r="O27" i="36" s="1"/>
  <c r="O35" i="36" s="1"/>
  <c r="L37" i="36"/>
  <c r="O36" i="33"/>
  <c r="O59" i="33" s="1"/>
  <c r="N36" i="33"/>
  <c r="N59" i="33" s="1"/>
  <c r="F10" i="26"/>
  <c r="F13" i="26" s="1"/>
  <c r="F5" i="26"/>
  <c r="F8" i="26" s="1"/>
  <c r="Q34" i="41" l="1"/>
  <c r="Q33" i="41"/>
  <c r="G10" i="26"/>
  <c r="G13" i="26" s="1"/>
  <c r="G5" i="26"/>
  <c r="G8" i="26" s="1"/>
  <c r="H10" i="26" l="1"/>
  <c r="H13" i="26" s="1"/>
  <c r="H5" i="26"/>
  <c r="H8" i="26" s="1"/>
  <c r="I10" i="26" l="1"/>
  <c r="I13" i="26" s="1"/>
  <c r="I5" i="26"/>
  <c r="I8" i="26" s="1"/>
  <c r="H76" i="18"/>
  <c r="I76" i="18" l="1"/>
  <c r="G76" i="18" l="1"/>
  <c r="F76" i="18" l="1"/>
  <c r="E76" i="18" l="1"/>
  <c r="H43" i="18" l="1"/>
  <c r="L60" i="33" s="1"/>
  <c r="H44" i="18" l="1"/>
  <c r="H74" i="18" s="1"/>
  <c r="L61" i="33" s="1"/>
  <c r="H75" i="18" l="1"/>
  <c r="I43" i="18"/>
  <c r="M60" i="33" s="1"/>
  <c r="I44" i="18" l="1"/>
  <c r="I74" i="18" s="1"/>
  <c r="M61" i="33" s="1"/>
  <c r="I75" i="18" l="1"/>
  <c r="J43" i="18"/>
  <c r="N60" i="33" s="1"/>
  <c r="J44" i="18" l="1"/>
  <c r="J74" i="18" s="1"/>
  <c r="N61" i="33" s="1"/>
  <c r="K43" i="18" l="1"/>
  <c r="O60" i="33" s="1"/>
  <c r="J75" i="18"/>
  <c r="K44" i="18" l="1"/>
  <c r="K74" i="18" s="1"/>
  <c r="O61" i="33" s="1"/>
  <c r="K75" i="18" l="1"/>
  <c r="L43" i="18"/>
  <c r="P60" i="33" s="1"/>
  <c r="L44" i="18" l="1"/>
  <c r="L74" i="18" s="1"/>
  <c r="P61" i="33" s="1"/>
  <c r="L75" i="18" l="1"/>
  <c r="Q60" i="33" l="1"/>
  <c r="Q61" i="33" l="1"/>
  <c r="Q33" i="33"/>
  <c r="Q35" i="33" s="1"/>
  <c r="Q36" i="33" s="1"/>
  <c r="Q59" i="33" s="1"/>
  <c r="N68" i="34" l="1"/>
  <c r="M68" i="34"/>
  <c r="F68" i="34"/>
  <c r="I68" i="34"/>
  <c r="J68" i="34"/>
  <c r="Q68" i="34"/>
  <c r="P68" i="34"/>
  <c r="L68" i="34"/>
  <c r="H68" i="34"/>
  <c r="G68" i="34"/>
  <c r="K68" i="34"/>
  <c r="O68" i="34"/>
  <c r="E68" i="34"/>
  <c r="Q71" i="34"/>
</calcChain>
</file>

<file path=xl/sharedStrings.xml><?xml version="1.0" encoding="utf-8"?>
<sst xmlns="http://schemas.openxmlformats.org/spreadsheetml/2006/main" count="937" uniqueCount="577">
  <si>
    <t>設備関係支出</t>
    <rPh sb="0" eb="2">
      <t>セツビ</t>
    </rPh>
    <rPh sb="2" eb="4">
      <t>カンケイ</t>
    </rPh>
    <rPh sb="4" eb="6">
      <t>シシュツ</t>
    </rPh>
    <phoneticPr fontId="2"/>
  </si>
  <si>
    <t>収入の部</t>
    <rPh sb="0" eb="2">
      <t>シュウニュウ</t>
    </rPh>
    <rPh sb="3" eb="4">
      <t>ブ</t>
    </rPh>
    <phoneticPr fontId="2"/>
  </si>
  <si>
    <t xml:space="preserve">    収入の部合計</t>
    <rPh sb="4" eb="6">
      <t>シュウニュウ</t>
    </rPh>
    <rPh sb="7" eb="8">
      <t>ブ</t>
    </rPh>
    <rPh sb="8" eb="10">
      <t>ゴウケイ</t>
    </rPh>
    <phoneticPr fontId="2"/>
  </si>
  <si>
    <t>支出の部</t>
    <rPh sb="0" eb="2">
      <t>シシュツ</t>
    </rPh>
    <rPh sb="3" eb="4">
      <t>ブ</t>
    </rPh>
    <phoneticPr fontId="2"/>
  </si>
  <si>
    <t xml:space="preserve">    支出の部合計</t>
    <rPh sb="4" eb="6">
      <t>シシュツ</t>
    </rPh>
    <rPh sb="7" eb="8">
      <t>ブ</t>
    </rPh>
    <rPh sb="8" eb="10">
      <t>ゴウケイ</t>
    </rPh>
    <phoneticPr fontId="2"/>
  </si>
  <si>
    <t>学生生徒等納付金収入</t>
    <rPh sb="0" eb="2">
      <t>ガクセイ</t>
    </rPh>
    <rPh sb="2" eb="4">
      <t>セイト</t>
    </rPh>
    <rPh sb="4" eb="5">
      <t>トウ</t>
    </rPh>
    <rPh sb="5" eb="8">
      <t>ノウフキン</t>
    </rPh>
    <rPh sb="8" eb="10">
      <t>シュウニュウ</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</si>
  <si>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</si>
  <si>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</si>
  <si>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2">
      <t>ホジョ</t>
    </rPh>
    <rPh sb="2" eb="3">
      <t>キン</t>
    </rPh>
    <rPh sb="3" eb="5">
      <t>シュウニュウ</t>
    </rPh>
    <phoneticPr fontId="2"/>
  </si>
  <si>
    <t>雑収入</t>
    <rPh sb="0" eb="1">
      <t>ザツ</t>
    </rPh>
    <rPh sb="1" eb="3">
      <t>シュウニュウ</t>
    </rPh>
    <phoneticPr fontId="2"/>
  </si>
  <si>
    <t>前受金収入</t>
    <rPh sb="0" eb="2">
      <t>マエウ</t>
    </rPh>
    <rPh sb="2" eb="3">
      <t>キン</t>
    </rPh>
    <rPh sb="3" eb="5">
      <t>シュウニュウ</t>
    </rPh>
    <phoneticPr fontId="2"/>
  </si>
  <si>
    <t>その他の収入</t>
    <rPh sb="0" eb="3">
      <t>ソノタ</t>
    </rPh>
    <rPh sb="4" eb="6">
      <t>シュウニュウ</t>
    </rPh>
    <phoneticPr fontId="2"/>
  </si>
  <si>
    <t>資金収入調整勘定</t>
    <rPh sb="0" eb="2">
      <t>シキン</t>
    </rPh>
    <rPh sb="2" eb="4">
      <t>シュウニュウ</t>
    </rPh>
    <rPh sb="4" eb="6">
      <t>チョウセイ</t>
    </rPh>
    <rPh sb="6" eb="8">
      <t>カンジョウ</t>
    </rPh>
    <phoneticPr fontId="2"/>
  </si>
  <si>
    <t>前年度繰越支払資金</t>
    <rPh sb="0" eb="3">
      <t>ゼンネンド</t>
    </rPh>
    <rPh sb="3" eb="5">
      <t>クリコ</t>
    </rPh>
    <rPh sb="5" eb="7">
      <t>シハライ</t>
    </rPh>
    <rPh sb="7" eb="9">
      <t>シキン</t>
    </rPh>
    <phoneticPr fontId="2"/>
  </si>
  <si>
    <t>人件費支出</t>
    <rPh sb="0" eb="3">
      <t>ジンケンヒ</t>
    </rPh>
    <rPh sb="3" eb="5">
      <t>シシュツ</t>
    </rPh>
    <phoneticPr fontId="2"/>
  </si>
  <si>
    <t>借入金等利息支出</t>
    <rPh sb="0" eb="3">
      <t>カリイレキン</t>
    </rPh>
    <rPh sb="3" eb="4">
      <t>トウ</t>
    </rPh>
    <rPh sb="4" eb="6">
      <t>リソク</t>
    </rPh>
    <rPh sb="6" eb="8">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</si>
  <si>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</si>
  <si>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</si>
  <si>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その他の支出</t>
    <rPh sb="0" eb="3">
      <t>ソノタ</t>
    </rPh>
    <rPh sb="4" eb="6">
      <t>シシュツ</t>
    </rPh>
    <phoneticPr fontId="2"/>
  </si>
  <si>
    <t>資金支出調整勘定</t>
    <rPh sb="0" eb="2">
      <t>シキン</t>
    </rPh>
    <rPh sb="2" eb="4">
      <t>シシュツ</t>
    </rPh>
    <rPh sb="4" eb="6">
      <t>チョウセイ</t>
    </rPh>
    <rPh sb="6" eb="8">
      <t>カンジョウ</t>
    </rPh>
    <phoneticPr fontId="2"/>
  </si>
  <si>
    <t>進級率</t>
    <rPh sb="0" eb="2">
      <t>シンキュウ</t>
    </rPh>
    <rPh sb="2" eb="3">
      <t>リツ</t>
    </rPh>
    <phoneticPr fontId="2"/>
  </si>
  <si>
    <t>資産売却収入</t>
    <rPh sb="0" eb="2">
      <t>シサン</t>
    </rPh>
    <rPh sb="2" eb="4">
      <t>バイキャク</t>
    </rPh>
    <rPh sb="4" eb="6">
      <t>シュウニュウ</t>
    </rPh>
    <phoneticPr fontId="2"/>
  </si>
  <si>
    <t>　本務教員人件費</t>
    <rPh sb="1" eb="3">
      <t>ホンム</t>
    </rPh>
    <rPh sb="3" eb="5">
      <t>キョウイン</t>
    </rPh>
    <rPh sb="5" eb="8">
      <t>ジンケンヒ</t>
    </rPh>
    <phoneticPr fontId="2"/>
  </si>
  <si>
    <t>　兼務教員人件費</t>
    <rPh sb="1" eb="3">
      <t>ケンム</t>
    </rPh>
    <rPh sb="3" eb="5">
      <t>キョウイン</t>
    </rPh>
    <rPh sb="5" eb="8">
      <t>ジンケンヒ</t>
    </rPh>
    <phoneticPr fontId="2"/>
  </si>
  <si>
    <t>　本務職員人件費</t>
    <rPh sb="1" eb="3">
      <t>ホンム</t>
    </rPh>
    <rPh sb="3" eb="5">
      <t>ショクイン</t>
    </rPh>
    <rPh sb="5" eb="8">
      <t>ジンケンヒ</t>
    </rPh>
    <phoneticPr fontId="2"/>
  </si>
  <si>
    <t>　兼務職員人件費</t>
    <rPh sb="1" eb="3">
      <t>ケンム</t>
    </rPh>
    <rPh sb="3" eb="5">
      <t>ショクイン</t>
    </rPh>
    <rPh sb="5" eb="8">
      <t>ジンケンヒ</t>
    </rPh>
    <phoneticPr fontId="2"/>
  </si>
  <si>
    <t>　退職金</t>
    <rPh sb="1" eb="4">
      <t>タイショクキン</t>
    </rPh>
    <phoneticPr fontId="2"/>
  </si>
  <si>
    <t>教育研究経費支出</t>
    <rPh sb="0" eb="2">
      <t>キョウイク</t>
    </rPh>
    <rPh sb="2" eb="4">
      <t>ケンキュウ</t>
    </rPh>
    <rPh sb="4" eb="6">
      <t>ケイヒ</t>
    </rPh>
    <rPh sb="6" eb="8">
      <t>シシュツ</t>
    </rPh>
    <phoneticPr fontId="2"/>
  </si>
  <si>
    <t>管理経費支出</t>
    <rPh sb="0" eb="2">
      <t>カンリ</t>
    </rPh>
    <rPh sb="2" eb="4">
      <t>ケイヒ</t>
    </rPh>
    <rPh sb="4" eb="6">
      <t>シシュツ</t>
    </rPh>
    <phoneticPr fontId="2"/>
  </si>
  <si>
    <t>資産運用支出</t>
    <rPh sb="0" eb="2">
      <t>シサン</t>
    </rPh>
    <rPh sb="2" eb="4">
      <t>ウンヨウ</t>
    </rPh>
    <rPh sb="4" eb="6">
      <t>シシュツ</t>
    </rPh>
    <phoneticPr fontId="2"/>
  </si>
  <si>
    <t>　役員報酬</t>
    <rPh sb="1" eb="3">
      <t>ヤクイン</t>
    </rPh>
    <rPh sb="3" eb="5">
      <t>ホウシュウ</t>
    </rPh>
    <phoneticPr fontId="2"/>
  </si>
  <si>
    <t>計</t>
    <rPh sb="0" eb="1">
      <t>ケイ</t>
    </rPh>
    <phoneticPr fontId="2"/>
  </si>
  <si>
    <t>入学金収入</t>
    <rPh sb="0" eb="3">
      <t>ニュウガクキン</t>
    </rPh>
    <rPh sb="3" eb="5">
      <t>シュウニュウ</t>
    </rPh>
    <phoneticPr fontId="2"/>
  </si>
  <si>
    <t>授業料等収入</t>
    <rPh sb="0" eb="3">
      <t>ジュギョウリョウ</t>
    </rPh>
    <rPh sb="3" eb="4">
      <t>ナド</t>
    </rPh>
    <rPh sb="4" eb="6">
      <t>シュウニュウ</t>
    </rPh>
    <phoneticPr fontId="2"/>
  </si>
  <si>
    <t>特別寄付金収入</t>
    <rPh sb="0" eb="2">
      <t>トクベツ</t>
    </rPh>
    <rPh sb="2" eb="5">
      <t>キフキン</t>
    </rPh>
    <rPh sb="5" eb="7">
      <t>シュウニュウ</t>
    </rPh>
    <phoneticPr fontId="2"/>
  </si>
  <si>
    <t>一般寄付金収入</t>
    <rPh sb="0" eb="2">
      <t>イッパン</t>
    </rPh>
    <rPh sb="2" eb="5">
      <t>キフキン</t>
    </rPh>
    <rPh sb="5" eb="7">
      <t>シュウニュウ</t>
    </rPh>
    <phoneticPr fontId="2"/>
  </si>
  <si>
    <t>国庫補助金収入</t>
    <rPh sb="0" eb="2">
      <t>コッコ</t>
    </rPh>
    <rPh sb="2" eb="5">
      <t>ホジョキン</t>
    </rPh>
    <rPh sb="5" eb="7">
      <t>シュウニュウ</t>
    </rPh>
    <phoneticPr fontId="2"/>
  </si>
  <si>
    <t>日本私立学校振興・共済事業団補助金収入</t>
  </si>
  <si>
    <t>その他国庫補助金収入</t>
  </si>
  <si>
    <t>地方公共団体補助金収入</t>
  </si>
  <si>
    <t>日本私立学校振興・共済事業団学術研究振興資金収入</t>
  </si>
  <si>
    <t>有価証券売却収入</t>
  </si>
  <si>
    <t>その他資産売却収入</t>
  </si>
  <si>
    <t>借入金等収入</t>
    <rPh sb="0" eb="3">
      <t>カリイレキン</t>
    </rPh>
    <rPh sb="3" eb="4">
      <t>ナド</t>
    </rPh>
    <rPh sb="4" eb="6">
      <t>シュウニュウ</t>
    </rPh>
    <phoneticPr fontId="2"/>
  </si>
  <si>
    <t>長期借入金収入</t>
    <rPh sb="0" eb="2">
      <t>チョウキ</t>
    </rPh>
    <rPh sb="2" eb="4">
      <t>カリイレ</t>
    </rPh>
    <rPh sb="4" eb="5">
      <t>キン</t>
    </rPh>
    <phoneticPr fontId="2"/>
  </si>
  <si>
    <t>短期借入金収入</t>
    <rPh sb="0" eb="2">
      <t>タンキ</t>
    </rPh>
    <rPh sb="2" eb="4">
      <t>カリイレ</t>
    </rPh>
    <rPh sb="4" eb="5">
      <t>キン</t>
    </rPh>
    <phoneticPr fontId="2"/>
  </si>
  <si>
    <t>学校債収入</t>
    <rPh sb="0" eb="2">
      <t>ガッコウ</t>
    </rPh>
    <rPh sb="2" eb="3">
      <t>サイ</t>
    </rPh>
    <rPh sb="3" eb="5">
      <t>シュウニュウ</t>
    </rPh>
    <phoneticPr fontId="2"/>
  </si>
  <si>
    <t>前期末未収入金収入</t>
  </si>
  <si>
    <t>その他収入</t>
  </si>
  <si>
    <t>項　　　　　　　　　　　　目</t>
    <rPh sb="0" eb="1">
      <t>コウ</t>
    </rPh>
    <rPh sb="13" eb="14">
      <t>メ</t>
    </rPh>
    <phoneticPr fontId="2"/>
  </si>
  <si>
    <t xml:space="preserve">    収入の部小計（Ａ）</t>
    <rPh sb="4" eb="6">
      <t>シュウニュウ</t>
    </rPh>
    <rPh sb="7" eb="8">
      <t>ブ</t>
    </rPh>
    <rPh sb="8" eb="10">
      <t>コバカリ</t>
    </rPh>
    <phoneticPr fontId="2"/>
  </si>
  <si>
    <t xml:space="preserve">    支出の部小計（Ｂ）</t>
    <rPh sb="4" eb="6">
      <t>シシュツ</t>
    </rPh>
    <rPh sb="7" eb="8">
      <t>ブ</t>
    </rPh>
    <rPh sb="8" eb="10">
      <t>コバカリ</t>
    </rPh>
    <phoneticPr fontId="2"/>
  </si>
  <si>
    <t>（Ａ－Ｂ）年度収支差額</t>
    <rPh sb="5" eb="7">
      <t>ネンド</t>
    </rPh>
    <rPh sb="7" eb="9">
      <t>シュウシ</t>
    </rPh>
    <rPh sb="9" eb="11">
      <t>サガク</t>
    </rPh>
    <phoneticPr fontId="2"/>
  </si>
  <si>
    <t>手数料収入</t>
  </si>
  <si>
    <t>一般寄付金収入</t>
  </si>
  <si>
    <t>前期末前受金</t>
  </si>
  <si>
    <t>人件費支出</t>
  </si>
  <si>
    <t>教育研究経費支出</t>
  </si>
  <si>
    <t>管理経費支出</t>
  </si>
  <si>
    <t>借入金等利息支出</t>
  </si>
  <si>
    <t>期末未収入金</t>
  </si>
  <si>
    <t>施設関係支出</t>
  </si>
  <si>
    <t>設備関係支出</t>
  </si>
  <si>
    <t>手形債務支払支出</t>
  </si>
  <si>
    <t>前期末未払金支払支出</t>
  </si>
  <si>
    <t>期末未払金</t>
  </si>
  <si>
    <t>前払金支払支出</t>
  </si>
  <si>
    <t>前期末前払金</t>
  </si>
  <si>
    <t>借入金等返済支出</t>
  </si>
  <si>
    <t>その他支払支出</t>
  </si>
  <si>
    <t>その他支出調整勘定</t>
  </si>
  <si>
    <t>法人番号</t>
    <rPh sb="0" eb="2">
      <t>ホウジン</t>
    </rPh>
    <rPh sb="2" eb="4">
      <t>バンゴウ</t>
    </rPh>
    <phoneticPr fontId="2"/>
  </si>
  <si>
    <t>法人名</t>
    <rPh sb="0" eb="2">
      <t>ホウジン</t>
    </rPh>
    <rPh sb="2" eb="3">
      <t>メイ</t>
    </rPh>
    <phoneticPr fontId="2"/>
  </si>
  <si>
    <t>作成年度</t>
    <rPh sb="0" eb="2">
      <t>サクセイ</t>
    </rPh>
    <rPh sb="2" eb="4">
      <t>ネンド</t>
    </rPh>
    <phoneticPr fontId="2"/>
  </si>
  <si>
    <t>私学退職金団体交付金収入</t>
  </si>
  <si>
    <t>その他の雑収入</t>
  </si>
  <si>
    <t>その他の収入調整勘定</t>
    <rPh sb="4" eb="6">
      <t>シュウニュウ</t>
    </rPh>
    <rPh sb="6" eb="8">
      <t>チョウセイ</t>
    </rPh>
    <rPh sb="8" eb="10">
      <t>カンジョウ</t>
    </rPh>
    <phoneticPr fontId="2"/>
  </si>
  <si>
    <t>学生生徒等納付金</t>
    <rPh sb="0" eb="2">
      <t>ガクセイ</t>
    </rPh>
    <rPh sb="2" eb="4">
      <t>セイト</t>
    </rPh>
    <rPh sb="4" eb="5">
      <t>ナド</t>
    </rPh>
    <rPh sb="5" eb="8">
      <t>ノウフキン</t>
    </rPh>
    <phoneticPr fontId="1"/>
  </si>
  <si>
    <t>手数料</t>
    <rPh sb="0" eb="3">
      <t>テスウリョウ</t>
    </rPh>
    <phoneticPr fontId="1"/>
  </si>
  <si>
    <t>寄付金</t>
    <rPh sb="0" eb="3">
      <t>キフキン</t>
    </rPh>
    <phoneticPr fontId="1"/>
  </si>
  <si>
    <t>資産売却差額</t>
    <rPh sb="0" eb="2">
      <t>シサン</t>
    </rPh>
    <rPh sb="2" eb="4">
      <t>バイキャク</t>
    </rPh>
    <rPh sb="4" eb="6">
      <t>サガク</t>
    </rPh>
    <phoneticPr fontId="1"/>
  </si>
  <si>
    <t>雑収入</t>
    <rPh sb="0" eb="3">
      <t>ザッシュウニュウ</t>
    </rPh>
    <phoneticPr fontId="1"/>
  </si>
  <si>
    <t>人件費</t>
    <rPh sb="0" eb="3">
      <t>ジンケンヒ</t>
    </rPh>
    <phoneticPr fontId="1"/>
  </si>
  <si>
    <t>教育研究経費</t>
    <rPh sb="0" eb="2">
      <t>キョウイク</t>
    </rPh>
    <rPh sb="2" eb="4">
      <t>ケンキュウ</t>
    </rPh>
    <rPh sb="4" eb="6">
      <t>ケイヒ</t>
    </rPh>
    <phoneticPr fontId="1"/>
  </si>
  <si>
    <t>管理経費</t>
    <rPh sb="0" eb="2">
      <t>カンリ</t>
    </rPh>
    <rPh sb="2" eb="4">
      <t>ケイヒ</t>
    </rPh>
    <phoneticPr fontId="1"/>
  </si>
  <si>
    <t>資産処分差額</t>
    <rPh sb="0" eb="2">
      <t>シサン</t>
    </rPh>
    <rPh sb="2" eb="4">
      <t>ショブン</t>
    </rPh>
    <rPh sb="4" eb="6">
      <t>サガク</t>
    </rPh>
    <phoneticPr fontId="1"/>
  </si>
  <si>
    <t>前月繰越</t>
    <rPh sb="0" eb="2">
      <t>ゼンゲツ</t>
    </rPh>
    <rPh sb="2" eb="4">
      <t>クリコシ</t>
    </rPh>
    <phoneticPr fontId="2"/>
  </si>
  <si>
    <t>４月</t>
    <rPh sb="1" eb="2">
      <t>ガツ</t>
    </rPh>
    <phoneticPr fontId="2"/>
  </si>
  <si>
    <t>５月</t>
  </si>
  <si>
    <t>６月</t>
  </si>
  <si>
    <t>７月</t>
  </si>
  <si>
    <t>８月</t>
  </si>
  <si>
    <t>９月</t>
  </si>
  <si>
    <t>１０月</t>
  </si>
  <si>
    <t>１１月</t>
  </si>
  <si>
    <t>１２月</t>
  </si>
  <si>
    <t>１月</t>
  </si>
  <si>
    <t>２月</t>
  </si>
  <si>
    <t>３月</t>
  </si>
  <si>
    <t>（Ａ－Ｂ）月別収支差額</t>
    <rPh sb="5" eb="7">
      <t>ツキベツ</t>
    </rPh>
    <rPh sb="7" eb="9">
      <t>シュウシ</t>
    </rPh>
    <rPh sb="9" eb="11">
      <t>サガク</t>
    </rPh>
    <phoneticPr fontId="2"/>
  </si>
  <si>
    <t>次月繰越</t>
    <rPh sb="0" eb="2">
      <t>ジゲツ</t>
    </rPh>
    <rPh sb="2" eb="4">
      <t>クリコシ</t>
    </rPh>
    <phoneticPr fontId="2"/>
  </si>
  <si>
    <t>項　　目</t>
  </si>
  <si>
    <t>期末残高</t>
  </si>
  <si>
    <t>借 入 額</t>
  </si>
  <si>
    <t>返 済 額</t>
  </si>
  <si>
    <t>支払利息</t>
  </si>
  <si>
    <t>長期借入金</t>
    <rPh sb="0" eb="2">
      <t>チョウキ</t>
    </rPh>
    <rPh sb="2" eb="4">
      <t>カリイレ</t>
    </rPh>
    <rPh sb="4" eb="5">
      <t>キン</t>
    </rPh>
    <phoneticPr fontId="2"/>
  </si>
  <si>
    <t>借　入　先</t>
    <rPh sb="0" eb="5">
      <t>カリイレサキ</t>
    </rPh>
    <phoneticPr fontId="2"/>
  </si>
  <si>
    <t>支払利息</t>
    <rPh sb="0" eb="2">
      <t>シハライ</t>
    </rPh>
    <phoneticPr fontId="2"/>
  </si>
  <si>
    <t>短期借入金</t>
  </si>
  <si>
    <t>借　入　先</t>
  </si>
  <si>
    <t>計</t>
  </si>
  <si>
    <t>合　計</t>
  </si>
  <si>
    <t>科　　　　　目</t>
  </si>
  <si>
    <t>※学校法人名をここに入力してください。</t>
    <rPh sb="1" eb="5">
      <t>ガッコウホウジン</t>
    </rPh>
    <rPh sb="5" eb="6">
      <t>ナ</t>
    </rPh>
    <rPh sb="10" eb="12">
      <t>ニュウリョク</t>
    </rPh>
    <phoneticPr fontId="2"/>
  </si>
  <si>
    <t>様式番号</t>
    <rPh sb="0" eb="2">
      <t>ヨウシキ</t>
    </rPh>
    <rPh sb="2" eb="4">
      <t>バンゴウ</t>
    </rPh>
    <phoneticPr fontId="2"/>
  </si>
  <si>
    <t>様式名</t>
    <rPh sb="0" eb="2">
      <t>ヨウシキ</t>
    </rPh>
    <rPh sb="2" eb="3">
      <t>メイ</t>
    </rPh>
    <phoneticPr fontId="2"/>
  </si>
  <si>
    <t>様式1</t>
    <rPh sb="0" eb="2">
      <t>ヨウシキ</t>
    </rPh>
    <phoneticPr fontId="2"/>
  </si>
  <si>
    <t>作成単位</t>
    <rPh sb="0" eb="2">
      <t>サクセイ</t>
    </rPh>
    <rPh sb="2" eb="4">
      <t>タンイ</t>
    </rPh>
    <phoneticPr fontId="2"/>
  </si>
  <si>
    <t>（様式１）</t>
    <rPh sb="1" eb="3">
      <t>ヨウシキ</t>
    </rPh>
    <phoneticPr fontId="2"/>
  </si>
  <si>
    <t>（Ⅰ.○○大学）</t>
    <rPh sb="5" eb="7">
      <t>ダイガク</t>
    </rPh>
    <phoneticPr fontId="2"/>
  </si>
  <si>
    <t xml:space="preserve"> a.入学定員</t>
    <rPh sb="3" eb="5">
      <t>ニュウガク</t>
    </rPh>
    <rPh sb="5" eb="7">
      <t>テイイン</t>
    </rPh>
    <phoneticPr fontId="2"/>
  </si>
  <si>
    <t xml:space="preserve"> b.志願者数</t>
    <rPh sb="3" eb="6">
      <t>シガンシャ</t>
    </rPh>
    <rPh sb="6" eb="7">
      <t>スウ</t>
    </rPh>
    <phoneticPr fontId="2"/>
  </si>
  <si>
    <t xml:space="preserve"> c.入学者数</t>
    <rPh sb="3" eb="5">
      <t>ニュウガク</t>
    </rPh>
    <rPh sb="5" eb="6">
      <t>シャ</t>
    </rPh>
    <rPh sb="6" eb="7">
      <t>スウ</t>
    </rPh>
    <phoneticPr fontId="2"/>
  </si>
  <si>
    <t xml:space="preserve"> d.１年（１年生÷入学者数）</t>
    <rPh sb="4" eb="5">
      <t>ネン</t>
    </rPh>
    <rPh sb="7" eb="8">
      <t>ネン</t>
    </rPh>
    <rPh sb="8" eb="9">
      <t>セイ</t>
    </rPh>
    <rPh sb="10" eb="12">
      <t>ニュウガク</t>
    </rPh>
    <rPh sb="12" eb="13">
      <t>シャ</t>
    </rPh>
    <rPh sb="13" eb="14">
      <t>スウ</t>
    </rPh>
    <phoneticPr fontId="2"/>
  </si>
  <si>
    <t xml:space="preserve"> e.２年（２年生÷１年生）</t>
    <rPh sb="4" eb="5">
      <t>ネン</t>
    </rPh>
    <rPh sb="11" eb="12">
      <t>ネン</t>
    </rPh>
    <rPh sb="12" eb="13">
      <t>セイ</t>
    </rPh>
    <phoneticPr fontId="2"/>
  </si>
  <si>
    <t xml:space="preserve"> f.３年（３年生÷２年生）</t>
    <rPh sb="4" eb="5">
      <t>ネン</t>
    </rPh>
    <phoneticPr fontId="2"/>
  </si>
  <si>
    <t xml:space="preserve"> g.４年（４年生÷３年生）</t>
    <rPh sb="4" eb="5">
      <t>ネン</t>
    </rPh>
    <phoneticPr fontId="2"/>
  </si>
  <si>
    <t xml:space="preserve"> h.５年（５年生÷４年生）</t>
    <rPh sb="4" eb="5">
      <t>ネン</t>
    </rPh>
    <phoneticPr fontId="2"/>
  </si>
  <si>
    <t xml:space="preserve"> i.６年（６年生÷５年生）</t>
    <rPh sb="4" eb="5">
      <t>ネン</t>
    </rPh>
    <phoneticPr fontId="2"/>
  </si>
  <si>
    <t>　（Ⅰ-3．○○学校計）</t>
    <rPh sb="8" eb="11">
      <t>ガッコウケイ</t>
    </rPh>
    <phoneticPr fontId="2"/>
  </si>
  <si>
    <t>（様式２）</t>
    <rPh sb="1" eb="3">
      <t>ヨウシキ</t>
    </rPh>
    <phoneticPr fontId="2"/>
  </si>
  <si>
    <t>（Ⅱ.○○高校）</t>
    <rPh sb="5" eb="7">
      <t>コウコウ</t>
    </rPh>
    <phoneticPr fontId="2"/>
  </si>
  <si>
    <t>（Ⅲ.法人部門）</t>
    <rPh sb="3" eb="7">
      <t>ホウジンブモン</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</si>
  <si>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</si>
  <si>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</si>
  <si>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</si>
  <si>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</si>
  <si>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法人</t>
    <rPh sb="0" eb="2">
      <t>ホウジン</t>
    </rPh>
    <phoneticPr fontId="2"/>
  </si>
  <si>
    <t>学校</t>
    <rPh sb="0" eb="2">
      <t>ガッコウ</t>
    </rPh>
    <phoneticPr fontId="2"/>
  </si>
  <si>
    <t xml:space="preserve">    当月収入計（Ａ）</t>
    <rPh sb="4" eb="6">
      <t>トウゲツ</t>
    </rPh>
    <rPh sb="6" eb="8">
      <t>シュウニュウ</t>
    </rPh>
    <rPh sb="8" eb="9">
      <t>ケイ</t>
    </rPh>
    <phoneticPr fontId="2"/>
  </si>
  <si>
    <t xml:space="preserve">    当月支出計（Ｂ）</t>
    <rPh sb="4" eb="6">
      <t>トウゲツ</t>
    </rPh>
    <rPh sb="6" eb="8">
      <t>シシュツ</t>
    </rPh>
    <rPh sb="8" eb="9">
      <t>ケイ</t>
    </rPh>
    <phoneticPr fontId="2"/>
  </si>
  <si>
    <t>月別資金繰表</t>
    <rPh sb="0" eb="2">
      <t>ツキベツ</t>
    </rPh>
    <rPh sb="2" eb="4">
      <t>シキン</t>
    </rPh>
    <rPh sb="4" eb="5">
      <t>グ</t>
    </rPh>
    <rPh sb="5" eb="6">
      <t>ヒョウ</t>
    </rPh>
    <phoneticPr fontId="2"/>
  </si>
  <si>
    <t>様式6</t>
    <rPh sb="0" eb="2">
      <t>ヨウシキ</t>
    </rPh>
    <phoneticPr fontId="2"/>
  </si>
  <si>
    <t>様式7</t>
    <rPh sb="0" eb="2">
      <t>ヨウシキ</t>
    </rPh>
    <phoneticPr fontId="2"/>
  </si>
  <si>
    <t>様式8</t>
    <rPh sb="0" eb="2">
      <t>ヨウシキ</t>
    </rPh>
    <phoneticPr fontId="2"/>
  </si>
  <si>
    <t>借 入 額</t>
    <phoneticPr fontId="2"/>
  </si>
  <si>
    <t>返 済 額</t>
    <phoneticPr fontId="2"/>
  </si>
  <si>
    <t>借 入 額</t>
    <phoneticPr fontId="2"/>
  </si>
  <si>
    <t>返 済 額</t>
    <phoneticPr fontId="2"/>
  </si>
  <si>
    <t>作成日</t>
    <rPh sb="0" eb="2">
      <t>サクセイ</t>
    </rPh>
    <rPh sb="2" eb="3">
      <t>ヒ</t>
    </rPh>
    <phoneticPr fontId="2"/>
  </si>
  <si>
    <t>積算基礎1（学生等数関係）</t>
    <rPh sb="0" eb="2">
      <t>セキサン</t>
    </rPh>
    <rPh sb="2" eb="4">
      <t>キソ</t>
    </rPh>
    <rPh sb="6" eb="8">
      <t>ガクセイ</t>
    </rPh>
    <rPh sb="8" eb="9">
      <t>ナド</t>
    </rPh>
    <rPh sb="9" eb="10">
      <t>スウ</t>
    </rPh>
    <rPh sb="10" eb="12">
      <t>カンケイ</t>
    </rPh>
    <phoneticPr fontId="2"/>
  </si>
  <si>
    <t>積算基礎2（教職員数関係）</t>
    <rPh sb="0" eb="2">
      <t>セキサン</t>
    </rPh>
    <rPh sb="2" eb="4">
      <t>キソ</t>
    </rPh>
    <rPh sb="6" eb="9">
      <t>キョウショクイン</t>
    </rPh>
    <rPh sb="9" eb="10">
      <t>スウ</t>
    </rPh>
    <rPh sb="10" eb="12">
      <t>カンケイ</t>
    </rPh>
    <phoneticPr fontId="2"/>
  </si>
  <si>
    <t>積算基礎3（借入金関係）</t>
    <rPh sb="0" eb="2">
      <t>セキサン</t>
    </rPh>
    <rPh sb="2" eb="4">
      <t>キソ</t>
    </rPh>
    <rPh sb="6" eb="8">
      <t>カリイレ</t>
    </rPh>
    <rPh sb="8" eb="9">
      <t>キン</t>
    </rPh>
    <rPh sb="9" eb="11">
      <t>カンケイ</t>
    </rPh>
    <phoneticPr fontId="2"/>
  </si>
  <si>
    <t>●積算基礎1（学生等数関係）</t>
    <rPh sb="3" eb="5">
      <t>キソ</t>
    </rPh>
    <phoneticPr fontId="2"/>
  </si>
  <si>
    <t>●積算基礎2（教職員数関係）</t>
    <rPh sb="1" eb="3">
      <t>セキサン</t>
    </rPh>
    <rPh sb="3" eb="5">
      <t>キソ</t>
    </rPh>
    <rPh sb="7" eb="10">
      <t>キョウショクイン</t>
    </rPh>
    <rPh sb="10" eb="11">
      <t>カズ</t>
    </rPh>
    <rPh sb="11" eb="13">
      <t>カンケイ</t>
    </rPh>
    <phoneticPr fontId="2"/>
  </si>
  <si>
    <t>●積算基礎3（借入金関係）</t>
    <rPh sb="1" eb="3">
      <t>セキサン</t>
    </rPh>
    <rPh sb="3" eb="5">
      <t>キソ</t>
    </rPh>
    <rPh sb="7" eb="9">
      <t>カリイレ</t>
    </rPh>
    <rPh sb="9" eb="10">
      <t>キン</t>
    </rPh>
    <rPh sb="10" eb="12">
      <t>カンケイ</t>
    </rPh>
    <phoneticPr fontId="2"/>
  </si>
  <si>
    <t xml:space="preserve"> 資産売却差額</t>
    <rPh sb="1" eb="3">
      <t>シサン</t>
    </rPh>
    <rPh sb="3" eb="5">
      <t>バイキャク</t>
    </rPh>
    <rPh sb="5" eb="7">
      <t>サガク</t>
    </rPh>
    <phoneticPr fontId="2"/>
  </si>
  <si>
    <t xml:space="preserve"> 退職給与引当金繰入額</t>
    <rPh sb="1" eb="3">
      <t>タイショク</t>
    </rPh>
    <rPh sb="3" eb="5">
      <t>キュウヨ</t>
    </rPh>
    <rPh sb="5" eb="8">
      <t>ヒキアテキン</t>
    </rPh>
    <rPh sb="8" eb="11">
      <t>クリイレガク</t>
    </rPh>
    <phoneticPr fontId="2"/>
  </si>
  <si>
    <t xml:space="preserve"> 減価償却額（教研経費分）</t>
    <rPh sb="7" eb="9">
      <t>キョウケン</t>
    </rPh>
    <rPh sb="9" eb="12">
      <t>ケイヒブン</t>
    </rPh>
    <phoneticPr fontId="2"/>
  </si>
  <si>
    <t xml:space="preserve"> 減価償却額（管理経費分）</t>
    <rPh sb="7" eb="9">
      <t>カンリ</t>
    </rPh>
    <rPh sb="9" eb="12">
      <t>ケイヒブン</t>
    </rPh>
    <phoneticPr fontId="2"/>
  </si>
  <si>
    <t>東西大学</t>
    <rPh sb="0" eb="2">
      <t>トウザイ</t>
    </rPh>
    <rPh sb="2" eb="4">
      <t>ダイガク</t>
    </rPh>
    <phoneticPr fontId="2"/>
  </si>
  <si>
    <t>別紙1</t>
    <rPh sb="0" eb="2">
      <t>ベッシ</t>
    </rPh>
    <phoneticPr fontId="2"/>
  </si>
  <si>
    <t>様式9</t>
    <rPh sb="0" eb="2">
      <t>ヨウシキ</t>
    </rPh>
    <phoneticPr fontId="2"/>
  </si>
  <si>
    <t>様式10</t>
    <rPh sb="0" eb="2">
      <t>ヨウシキ</t>
    </rPh>
    <phoneticPr fontId="2"/>
  </si>
  <si>
    <t>貸借対照表</t>
    <rPh sb="0" eb="2">
      <t>タイシャク</t>
    </rPh>
    <rPh sb="2" eb="5">
      <t>タイショウヒョウ</t>
    </rPh>
    <phoneticPr fontId="2"/>
  </si>
  <si>
    <t>学科等</t>
    <rPh sb="0" eb="2">
      <t>ガッカ</t>
    </rPh>
    <rPh sb="2" eb="3">
      <t>ナド</t>
    </rPh>
    <phoneticPr fontId="2"/>
  </si>
  <si>
    <t>　（Ⅰ－１．○○学部○○学科）</t>
    <rPh sb="8" eb="10">
      <t>ガクブ</t>
    </rPh>
    <rPh sb="12" eb="14">
      <t>ガッカ</t>
    </rPh>
    <phoneticPr fontId="2"/>
  </si>
  <si>
    <t>　（Ⅰ－２．○○学部○○学科）</t>
    <rPh sb="8" eb="10">
      <t>ガクブ</t>
    </rPh>
    <rPh sb="12" eb="14">
      <t>ガッカ</t>
    </rPh>
    <phoneticPr fontId="2"/>
  </si>
  <si>
    <t xml:space="preserve"> k.入学金単価（千円）</t>
    <rPh sb="3" eb="6">
      <t>ニュウガクキン</t>
    </rPh>
    <rPh sb="6" eb="8">
      <t>タンカ</t>
    </rPh>
    <rPh sb="9" eb="11">
      <t>センエン</t>
    </rPh>
    <phoneticPr fontId="2"/>
  </si>
  <si>
    <t xml:space="preserve"> l.授業料等単価（千円）</t>
    <rPh sb="3" eb="6">
      <t>ジュギョウリョウ</t>
    </rPh>
    <rPh sb="6" eb="7">
      <t>ナド</t>
    </rPh>
    <rPh sb="7" eb="9">
      <t>タンカ</t>
    </rPh>
    <rPh sb="10" eb="11">
      <t>セン</t>
    </rPh>
    <rPh sb="11" eb="12">
      <t>エン</t>
    </rPh>
    <phoneticPr fontId="2"/>
  </si>
  <si>
    <t xml:space="preserve"> n.授業料等収入（千円）＝ j × l</t>
    <rPh sb="3" eb="6">
      <t>ジュギョウリョウ</t>
    </rPh>
    <rPh sb="6" eb="7">
      <t>ナド</t>
    </rPh>
    <rPh sb="7" eb="9">
      <t>シュウニュウ</t>
    </rPh>
    <rPh sb="10" eb="11">
      <t>セン</t>
    </rPh>
    <rPh sb="11" eb="12">
      <t>エン</t>
    </rPh>
    <phoneticPr fontId="2"/>
  </si>
  <si>
    <t xml:space="preserve"> o.経常費補助金単価（千円）</t>
    <rPh sb="3" eb="6">
      <t>ケイジョウヒ</t>
    </rPh>
    <rPh sb="6" eb="9">
      <t>ホジョキン</t>
    </rPh>
    <rPh sb="9" eb="11">
      <t>タンカ</t>
    </rPh>
    <rPh sb="12" eb="14">
      <t>センエン</t>
    </rPh>
    <phoneticPr fontId="2"/>
  </si>
  <si>
    <t xml:space="preserve"> k.本務教員人件費（千円）</t>
    <rPh sb="3" eb="5">
      <t>ホンム</t>
    </rPh>
    <rPh sb="5" eb="7">
      <t>キョウイン</t>
    </rPh>
    <rPh sb="7" eb="10">
      <t>ジンケンヒ</t>
    </rPh>
    <rPh sb="11" eb="13">
      <t>センエン</t>
    </rPh>
    <phoneticPr fontId="2"/>
  </si>
  <si>
    <t xml:space="preserve"> l.本務職員人件費（千円）</t>
    <rPh sb="3" eb="5">
      <t>ホンム</t>
    </rPh>
    <rPh sb="5" eb="7">
      <t>ショクイン</t>
    </rPh>
    <rPh sb="7" eb="10">
      <t>ジンケンヒ</t>
    </rPh>
    <rPh sb="11" eb="13">
      <t>センエン</t>
    </rPh>
    <phoneticPr fontId="2"/>
  </si>
  <si>
    <t>実施計画</t>
    <rPh sb="0" eb="2">
      <t>ジッシ</t>
    </rPh>
    <rPh sb="2" eb="4">
      <t>ケイカク</t>
    </rPh>
    <phoneticPr fontId="2"/>
  </si>
  <si>
    <t>学生生徒等納付金収入</t>
    <rPh sb="0" eb="2">
      <t>ガクセイ</t>
    </rPh>
    <rPh sb="2" eb="4">
      <t>セイト</t>
    </rPh>
    <rPh sb="4" eb="5">
      <t>ナド</t>
    </rPh>
    <rPh sb="5" eb="8">
      <t>ノウフキン</t>
    </rPh>
    <rPh sb="8" eb="10">
      <t>シュウニュウ</t>
    </rPh>
    <phoneticPr fontId="2"/>
  </si>
  <si>
    <t>日本私立学校振興・共済事業団補助金収入</t>
    <rPh sb="0" eb="2">
      <t>ニホン</t>
    </rPh>
    <rPh sb="2" eb="4">
      <t>シリツ</t>
    </rPh>
    <rPh sb="4" eb="6">
      <t>ガッコウ</t>
    </rPh>
    <rPh sb="6" eb="8">
      <t>シンコウ</t>
    </rPh>
    <rPh sb="9" eb="11">
      <t>キョウサイ</t>
    </rPh>
    <rPh sb="11" eb="14">
      <t>ジギョウダン</t>
    </rPh>
    <rPh sb="14" eb="17">
      <t>ホジョキン</t>
    </rPh>
    <rPh sb="17" eb="19">
      <t>シュウニュウ</t>
    </rPh>
    <phoneticPr fontId="2"/>
  </si>
  <si>
    <t>地方公共団体補助金収入</t>
    <phoneticPr fontId="2"/>
  </si>
  <si>
    <t>本務教員人件費</t>
    <rPh sb="0" eb="2">
      <t>ホンム</t>
    </rPh>
    <rPh sb="2" eb="4">
      <t>キョウイン</t>
    </rPh>
    <rPh sb="4" eb="7">
      <t>ジンケンヒ</t>
    </rPh>
    <phoneticPr fontId="2"/>
  </si>
  <si>
    <t>本務職員人件費</t>
    <rPh sb="0" eb="2">
      <t>ホンム</t>
    </rPh>
    <rPh sb="2" eb="4">
      <t>ショクイン</t>
    </rPh>
    <rPh sb="4" eb="7">
      <t>ジンケンヒ</t>
    </rPh>
    <phoneticPr fontId="2"/>
  </si>
  <si>
    <t>借入金等収入</t>
    <rPh sb="0" eb="2">
      <t>カリイレ</t>
    </rPh>
    <rPh sb="2" eb="3">
      <t>キン</t>
    </rPh>
    <rPh sb="3" eb="4">
      <t>ナド</t>
    </rPh>
    <rPh sb="4" eb="6">
      <t>シュウニュウ</t>
    </rPh>
    <phoneticPr fontId="2"/>
  </si>
  <si>
    <t>借入金等返済支出</t>
    <rPh sb="0" eb="2">
      <t>カリイレ</t>
    </rPh>
    <rPh sb="2" eb="3">
      <t>キン</t>
    </rPh>
    <rPh sb="3" eb="4">
      <t>ナド</t>
    </rPh>
    <rPh sb="4" eb="6">
      <t>ヘンサイ</t>
    </rPh>
    <rPh sb="6" eb="8">
      <t>シシュツ</t>
    </rPh>
    <phoneticPr fontId="2"/>
  </si>
  <si>
    <t>借入金等利息支出</t>
    <rPh sb="0" eb="2">
      <t>カリイレ</t>
    </rPh>
    <rPh sb="2" eb="3">
      <t>キン</t>
    </rPh>
    <rPh sb="3" eb="4">
      <t>ナド</t>
    </rPh>
    <rPh sb="4" eb="6">
      <t>リソク</t>
    </rPh>
    <rPh sb="6" eb="8">
      <t>シシュツ</t>
    </rPh>
    <phoneticPr fontId="2"/>
  </si>
  <si>
    <t>その他国庫補助金収入</t>
    <rPh sb="2" eb="3">
      <t>タ</t>
    </rPh>
    <rPh sb="3" eb="5">
      <t>コッコ</t>
    </rPh>
    <rPh sb="5" eb="8">
      <t>ホジョキン</t>
    </rPh>
    <rPh sb="8" eb="10">
      <t>シュウニュウ</t>
    </rPh>
    <phoneticPr fontId="2"/>
  </si>
  <si>
    <t>Ⅰ　作成手順</t>
    <rPh sb="2" eb="4">
      <t>サクセイ</t>
    </rPh>
    <rPh sb="4" eb="6">
      <t>テジュン</t>
    </rPh>
    <phoneticPr fontId="2"/>
  </si>
  <si>
    <t>Ⅱ　様式ごとの注意事項</t>
    <rPh sb="2" eb="4">
      <t>ヨウシキ</t>
    </rPh>
    <rPh sb="7" eb="9">
      <t>チュウイ</t>
    </rPh>
    <rPh sb="9" eb="11">
      <t>ジコウ</t>
    </rPh>
    <phoneticPr fontId="2"/>
  </si>
  <si>
    <t>2.</t>
  </si>
  <si>
    <t>3.</t>
  </si>
  <si>
    <t>4.</t>
  </si>
  <si>
    <t>5.</t>
  </si>
  <si>
    <t>6.</t>
  </si>
  <si>
    <t>7.</t>
  </si>
  <si>
    <t>この表は学校単位（法人部門含む）で作成してください。</t>
  </si>
  <si>
    <t>この表は法人単位で作成してください。</t>
    <rPh sb="4" eb="6">
      <t>ホウジン</t>
    </rPh>
    <phoneticPr fontId="2"/>
  </si>
  <si>
    <t>131999</t>
    <phoneticPr fontId="2"/>
  </si>
  <si>
    <t>この表は学科単位（大学院がある場合は専攻単位）で作成し学校計を出し、設置学校数だけ作成して
ください。</t>
    <rPh sb="18" eb="20">
      <t>センコウ</t>
    </rPh>
    <phoneticPr fontId="2"/>
  </si>
  <si>
    <t xml:space="preserve"> m.入学金収入（千円）＝ ｃ × ｋ</t>
    <rPh sb="3" eb="6">
      <t>ニュウガクキン</t>
    </rPh>
    <rPh sb="6" eb="8">
      <t>シュウニュウ</t>
    </rPh>
    <rPh sb="9" eb="11">
      <t>センエン</t>
    </rPh>
    <phoneticPr fontId="2"/>
  </si>
  <si>
    <t xml:space="preserve"> p.経常費補助金収入（千円）＝ j × o</t>
    <rPh sb="3" eb="6">
      <t>ケイジョウヒ</t>
    </rPh>
    <rPh sb="6" eb="9">
      <t>ホジョキン</t>
    </rPh>
    <rPh sb="9" eb="11">
      <t>シュウニュウ</t>
    </rPh>
    <rPh sb="12" eb="13">
      <t>セン</t>
    </rPh>
    <rPh sb="13" eb="14">
      <t>エン</t>
    </rPh>
    <phoneticPr fontId="2"/>
  </si>
  <si>
    <t xml:space="preserve"> a.専任教員数（前年度末）</t>
    <rPh sb="3" eb="5">
      <t>センニン</t>
    </rPh>
    <rPh sb="5" eb="7">
      <t>キョウイン</t>
    </rPh>
    <rPh sb="7" eb="8">
      <t>スウ</t>
    </rPh>
    <rPh sb="9" eb="12">
      <t>ゼンネンド</t>
    </rPh>
    <rPh sb="12" eb="13">
      <t>マツ</t>
    </rPh>
    <phoneticPr fontId="2"/>
  </si>
  <si>
    <t xml:space="preserve"> b.　　〃　　（当年度採用）</t>
    <rPh sb="9" eb="10">
      <t>トウ</t>
    </rPh>
    <rPh sb="10" eb="12">
      <t>ネンド</t>
    </rPh>
    <rPh sb="12" eb="14">
      <t>サイヨウ</t>
    </rPh>
    <phoneticPr fontId="2"/>
  </si>
  <si>
    <t>年度計</t>
    <rPh sb="0" eb="2">
      <t>ネンド</t>
    </rPh>
    <rPh sb="2" eb="3">
      <t>ケイ</t>
    </rPh>
    <phoneticPr fontId="2"/>
  </si>
  <si>
    <t>※当初作成年度を和暦で数字のみここに入力してください。</t>
    <rPh sb="1" eb="3">
      <t>トウショ</t>
    </rPh>
    <phoneticPr fontId="2"/>
  </si>
  <si>
    <t>当初年度</t>
    <rPh sb="0" eb="2">
      <t>トウショ</t>
    </rPh>
    <rPh sb="2" eb="4">
      <t>ネンド</t>
    </rPh>
    <phoneticPr fontId="2"/>
  </si>
  <si>
    <t>※今回の作成日付をここに入力してください。</t>
    <rPh sb="1" eb="3">
      <t>コンカイ</t>
    </rPh>
    <rPh sb="6" eb="8">
      <t>ヒヅケ</t>
    </rPh>
    <phoneticPr fontId="2"/>
  </si>
  <si>
    <t>※今回の作成年度を和暦で数字のみここに入力してください。</t>
    <rPh sb="1" eb="3">
      <t>コンカイ</t>
    </rPh>
    <phoneticPr fontId="2"/>
  </si>
  <si>
    <t>j.　計</t>
    <rPh sb="3" eb="4">
      <t>ケイ</t>
    </rPh>
    <phoneticPr fontId="2"/>
  </si>
  <si>
    <t>人数系</t>
    <rPh sb="0" eb="2">
      <t>ニンズウ</t>
    </rPh>
    <rPh sb="2" eb="3">
      <t>ケイ</t>
    </rPh>
    <phoneticPr fontId="2"/>
  </si>
  <si>
    <t>財務系</t>
    <rPh sb="0" eb="2">
      <t>ザイム</t>
    </rPh>
    <rPh sb="2" eb="3">
      <t>ケイ</t>
    </rPh>
    <phoneticPr fontId="2"/>
  </si>
  <si>
    <t>（注）本計画表の数値については以下のとおり。</t>
    <rPh sb="1" eb="2">
      <t>チュウ</t>
    </rPh>
    <rPh sb="3" eb="4">
      <t>ホン</t>
    </rPh>
    <rPh sb="4" eb="6">
      <t>ケイカク</t>
    </rPh>
    <rPh sb="6" eb="7">
      <t>ヒョウ</t>
    </rPh>
    <rPh sb="8" eb="10">
      <t>スウチ</t>
    </rPh>
    <rPh sb="15" eb="17">
      <t>イカ</t>
    </rPh>
    <phoneticPr fontId="2"/>
  </si>
  <si>
    <t>区分</t>
    <rPh sb="0" eb="2">
      <t>クブン</t>
    </rPh>
    <phoneticPr fontId="2"/>
  </si>
  <si>
    <t xml:space="preserve"> j.　　〃　　（5/1時点）</t>
    <rPh sb="12" eb="14">
      <t>ジテン</t>
    </rPh>
    <phoneticPr fontId="2"/>
  </si>
  <si>
    <t xml:space="preserve"> m.専任教員一人当人件費（千円）= k ÷ e</t>
    <rPh sb="3" eb="5">
      <t>センニン</t>
    </rPh>
    <rPh sb="5" eb="7">
      <t>キョウイン</t>
    </rPh>
    <rPh sb="7" eb="9">
      <t>ヒトリ</t>
    </rPh>
    <rPh sb="9" eb="10">
      <t>ア</t>
    </rPh>
    <rPh sb="10" eb="13">
      <t>ジンケンヒ</t>
    </rPh>
    <rPh sb="14" eb="16">
      <t>センエン</t>
    </rPh>
    <phoneticPr fontId="2"/>
  </si>
  <si>
    <t xml:space="preserve"> n.専任職員一人当人件費（千円）= l ÷ j</t>
    <rPh sb="3" eb="5">
      <t>センニン</t>
    </rPh>
    <rPh sb="5" eb="7">
      <t>ショクイン</t>
    </rPh>
    <rPh sb="7" eb="9">
      <t>ヒトリ</t>
    </rPh>
    <rPh sb="9" eb="10">
      <t>ア</t>
    </rPh>
    <rPh sb="10" eb="13">
      <t>ジンケンヒ</t>
    </rPh>
    <rPh sb="14" eb="16">
      <t>センエン</t>
    </rPh>
    <phoneticPr fontId="2"/>
  </si>
  <si>
    <t>実績記入年度</t>
    <rPh sb="0" eb="2">
      <t>ジッセキ</t>
    </rPh>
    <rPh sb="2" eb="4">
      <t>キニュウ</t>
    </rPh>
    <rPh sb="4" eb="6">
      <t>ネンド</t>
    </rPh>
    <phoneticPr fontId="2"/>
  </si>
  <si>
    <t>見込記入年度</t>
    <rPh sb="0" eb="2">
      <t>ミコミ</t>
    </rPh>
    <rPh sb="2" eb="4">
      <t>キニュウ</t>
    </rPh>
    <rPh sb="4" eb="6">
      <t>ネンド</t>
    </rPh>
    <phoneticPr fontId="2"/>
  </si>
  <si>
    <t>当初計画見込年度</t>
    <rPh sb="0" eb="2">
      <t>トウショ</t>
    </rPh>
    <rPh sb="2" eb="4">
      <t>ケイカク</t>
    </rPh>
    <rPh sb="4" eb="6">
      <t>ミコ</t>
    </rPh>
    <rPh sb="6" eb="8">
      <t>ネンド</t>
    </rPh>
    <phoneticPr fontId="2"/>
  </si>
  <si>
    <t xml:space="preserve"> e.　　〃　　（5/1時点）</t>
    <rPh sb="12" eb="14">
      <t>ジテン</t>
    </rPh>
    <phoneticPr fontId="2"/>
  </si>
  <si>
    <t xml:space="preserve"> d.　　〃　　（本年度末）＝ a + b - c</t>
    <rPh sb="9" eb="12">
      <t>ホンネンド</t>
    </rPh>
    <rPh sb="12" eb="13">
      <t>マツ</t>
    </rPh>
    <phoneticPr fontId="2"/>
  </si>
  <si>
    <t xml:space="preserve"> f.専任職員数（前年度末）</t>
    <rPh sb="3" eb="5">
      <t>センニン</t>
    </rPh>
    <rPh sb="5" eb="7">
      <t>ショクイン</t>
    </rPh>
    <rPh sb="7" eb="8">
      <t>スウ</t>
    </rPh>
    <rPh sb="9" eb="12">
      <t>ゼンネンド</t>
    </rPh>
    <rPh sb="12" eb="13">
      <t>マツ</t>
    </rPh>
    <phoneticPr fontId="2"/>
  </si>
  <si>
    <t xml:space="preserve"> g.　　〃　　（当年度採用）</t>
    <rPh sb="9" eb="10">
      <t>トウ</t>
    </rPh>
    <rPh sb="10" eb="12">
      <t>ネンド</t>
    </rPh>
    <rPh sb="12" eb="14">
      <t>サイヨウ</t>
    </rPh>
    <phoneticPr fontId="2"/>
  </si>
  <si>
    <t xml:space="preserve"> i.　　〃　　（本年度末））＝ f + g - h</t>
    <rPh sb="9" eb="12">
      <t>ホンネンド</t>
    </rPh>
    <rPh sb="12" eb="13">
      <t>マツ</t>
    </rPh>
    <phoneticPr fontId="2"/>
  </si>
  <si>
    <t>様式1.2</t>
    <rPh sb="0" eb="2">
      <t>ヨウシキ</t>
    </rPh>
    <phoneticPr fontId="2"/>
  </si>
  <si>
    <t>様式3～10</t>
    <rPh sb="0" eb="2">
      <t>ヨウシキ</t>
    </rPh>
    <phoneticPr fontId="2"/>
  </si>
  <si>
    <t>財 務 計 画 表</t>
    <rPh sb="0" eb="1">
      <t>ザイ</t>
    </rPh>
    <rPh sb="2" eb="3">
      <t>ツトム</t>
    </rPh>
    <rPh sb="4" eb="5">
      <t>ケイ</t>
    </rPh>
    <rPh sb="6" eb="7">
      <t>ガ</t>
    </rPh>
    <rPh sb="8" eb="9">
      <t>ヒョウ</t>
    </rPh>
    <phoneticPr fontId="2"/>
  </si>
  <si>
    <t>実施計画・財務計画表</t>
    <rPh sb="0" eb="2">
      <t>ジッシ</t>
    </rPh>
    <rPh sb="2" eb="4">
      <t>ケイカク</t>
    </rPh>
    <rPh sb="5" eb="7">
      <t>ザイム</t>
    </rPh>
    <rPh sb="7" eb="9">
      <t>ケイカク</t>
    </rPh>
    <rPh sb="9" eb="10">
      <t>ヒョウ</t>
    </rPh>
    <phoneticPr fontId="2"/>
  </si>
  <si>
    <t>【様式1】積算基礎1（学生等数関係）</t>
    <phoneticPr fontId="2"/>
  </si>
  <si>
    <t>1.</t>
    <phoneticPr fontId="2"/>
  </si>
  <si>
    <t>k.の入学金単価は入学金収入をその年度の入学者数で除した入学者一人当たりの単価です。</t>
    <phoneticPr fontId="2"/>
  </si>
  <si>
    <t>l.の授業料等単価は学生生徒等納付金収入から入学金収入を差し引いた金額をその年度の学生等数で除した在籍学生等一人当たりの単価です。</t>
    <phoneticPr fontId="2"/>
  </si>
  <si>
    <t>o.の補助金単価は経常費補助金（高校以下は地方公共団体補助金）をその年度の学生等数で除した在籍学生等一人当たりの単価です。（学校計のみ）</t>
    <phoneticPr fontId="2"/>
  </si>
  <si>
    <t>学年ごとにl.の単価が異なる場合にはl.行を追加してください。</t>
    <phoneticPr fontId="2"/>
  </si>
  <si>
    <t>【様式2】積算基礎2（教職員数関係）</t>
    <phoneticPr fontId="2"/>
  </si>
  <si>
    <t>1.</t>
    <phoneticPr fontId="2"/>
  </si>
  <si>
    <t>1.</t>
    <phoneticPr fontId="2"/>
  </si>
  <si>
    <t>1.</t>
    <phoneticPr fontId="2"/>
  </si>
  <si>
    <t>【様式10】貸借対照表</t>
    <phoneticPr fontId="2"/>
  </si>
  <si>
    <t>1.</t>
    <phoneticPr fontId="2"/>
  </si>
  <si>
    <t>●資金収支計算書（学校別）</t>
    <rPh sb="1" eb="3">
      <t>シキン</t>
    </rPh>
    <rPh sb="3" eb="5">
      <t>シュウシ</t>
    </rPh>
    <rPh sb="5" eb="7">
      <t>ケイサン</t>
    </rPh>
    <rPh sb="7" eb="8">
      <t>ショ</t>
    </rPh>
    <rPh sb="9" eb="11">
      <t>ガッコウ</t>
    </rPh>
    <rPh sb="11" eb="12">
      <t>ベツ</t>
    </rPh>
    <phoneticPr fontId="2"/>
  </si>
  <si>
    <r>
      <t xml:space="preserve">（様式３）
</t>
    </r>
    <r>
      <rPr>
        <sz val="14"/>
        <rFont val="ＭＳ Ｐゴシック"/>
        <family val="3"/>
        <charset val="128"/>
      </rPr>
      <t>単位：千円</t>
    </r>
    <rPh sb="1" eb="3">
      <t>ヨウシキ</t>
    </rPh>
    <rPh sb="7" eb="9">
      <t>タンイ</t>
    </rPh>
    <rPh sb="10" eb="12">
      <t>センエン</t>
    </rPh>
    <phoneticPr fontId="2"/>
  </si>
  <si>
    <t>1.</t>
    <phoneticPr fontId="2"/>
  </si>
  <si>
    <r>
      <t>「経営改善計画」の内容を数字に置き換えて「</t>
    </r>
    <r>
      <rPr>
        <sz val="11"/>
        <rFont val="ＭＳ Ｐゴシック"/>
        <family val="3"/>
        <charset val="128"/>
      </rPr>
      <t>積算基礎」を作成してください。</t>
    </r>
    <rPh sb="1" eb="3">
      <t>ケイエイ</t>
    </rPh>
    <rPh sb="3" eb="5">
      <t>カイゼン</t>
    </rPh>
    <rPh sb="5" eb="7">
      <t>ケイカク</t>
    </rPh>
    <rPh sb="9" eb="11">
      <t>ナイヨウ</t>
    </rPh>
    <rPh sb="12" eb="14">
      <t>スウジ</t>
    </rPh>
    <rPh sb="15" eb="16">
      <t>オ</t>
    </rPh>
    <rPh sb="17" eb="18">
      <t>カ</t>
    </rPh>
    <rPh sb="21" eb="23">
      <t>セキサン</t>
    </rPh>
    <rPh sb="23" eb="25">
      <t>キソ</t>
    </rPh>
    <rPh sb="27" eb="29">
      <t>サクセイ</t>
    </rPh>
    <phoneticPr fontId="2"/>
  </si>
  <si>
    <t>→</t>
    <phoneticPr fontId="2"/>
  </si>
  <si>
    <r>
      <t>財務計画表</t>
    </r>
    <r>
      <rPr>
        <sz val="11"/>
        <rFont val="ＭＳ Ｐゴシック"/>
        <family val="3"/>
        <charset val="128"/>
      </rPr>
      <t>（積算基礎）</t>
    </r>
    <rPh sb="0" eb="2">
      <t>ザイム</t>
    </rPh>
    <rPh sb="2" eb="4">
      <t>ケイカク</t>
    </rPh>
    <rPh sb="4" eb="5">
      <t>ヒョウ</t>
    </rPh>
    <rPh sb="6" eb="8">
      <t>セキサン</t>
    </rPh>
    <rPh sb="8" eb="10">
      <t>キソ</t>
    </rPh>
    <phoneticPr fontId="2"/>
  </si>
  <si>
    <t>→</t>
    <phoneticPr fontId="2"/>
  </si>
  <si>
    <t>→</t>
    <phoneticPr fontId="2"/>
  </si>
  <si>
    <t>2.</t>
    <phoneticPr fontId="2"/>
  </si>
  <si>
    <r>
      <t>「積算基礎」等から「</t>
    </r>
    <r>
      <rPr>
        <sz val="11"/>
        <rFont val="ＭＳ Ｐゴシック"/>
        <family val="3"/>
        <charset val="128"/>
      </rPr>
      <t>資金収支計算書」を作成してください。</t>
    </r>
    <rPh sb="1" eb="3">
      <t>セキサン</t>
    </rPh>
    <rPh sb="3" eb="5">
      <t>キソ</t>
    </rPh>
    <rPh sb="6" eb="7">
      <t>ナド</t>
    </rPh>
    <rPh sb="10" eb="12">
      <t>シキン</t>
    </rPh>
    <rPh sb="12" eb="14">
      <t>シュウシ</t>
    </rPh>
    <rPh sb="14" eb="17">
      <t>ケイサンショ</t>
    </rPh>
    <rPh sb="19" eb="21">
      <t>サクセイ</t>
    </rPh>
    <phoneticPr fontId="2"/>
  </si>
  <si>
    <r>
      <t>財務計画表</t>
    </r>
    <r>
      <rPr>
        <sz val="11"/>
        <rFont val="ＭＳ Ｐゴシック"/>
        <family val="3"/>
        <charset val="128"/>
      </rPr>
      <t>（資金収支計算書）</t>
    </r>
    <rPh sb="0" eb="2">
      <t>ザイム</t>
    </rPh>
    <rPh sb="2" eb="4">
      <t>ケイカク</t>
    </rPh>
    <rPh sb="4" eb="5">
      <t>ヒョウ</t>
    </rPh>
    <rPh sb="6" eb="8">
      <t>シキン</t>
    </rPh>
    <rPh sb="8" eb="10">
      <t>シュウシ</t>
    </rPh>
    <rPh sb="10" eb="13">
      <t>ケイサンショ</t>
    </rPh>
    <phoneticPr fontId="2"/>
  </si>
  <si>
    <t>→</t>
    <phoneticPr fontId="2"/>
  </si>
  <si>
    <t>→</t>
    <phoneticPr fontId="2"/>
  </si>
  <si>
    <t>→</t>
    <phoneticPr fontId="2"/>
  </si>
  <si>
    <t>3.</t>
    <phoneticPr fontId="2"/>
  </si>
  <si>
    <t>4.</t>
    <phoneticPr fontId="2"/>
  </si>
  <si>
    <t xml:space="preserve">5.
</t>
    <phoneticPr fontId="2"/>
  </si>
  <si>
    <t>6.</t>
    <phoneticPr fontId="2"/>
  </si>
  <si>
    <t>7.</t>
    <phoneticPr fontId="2"/>
  </si>
  <si>
    <t>8.</t>
    <phoneticPr fontId="2"/>
  </si>
  <si>
    <r>
      <t>太</t>
    </r>
    <r>
      <rPr>
        <sz val="11"/>
        <rFont val="ＭＳ Ｐゴシック"/>
        <family val="3"/>
        <charset val="128"/>
      </rPr>
      <t>枠で囲まれた色つきの部分に実績値を、それ以外の部分には見込みの数値を記入してください。</t>
    </r>
    <rPh sb="1" eb="2">
      <t>ワク</t>
    </rPh>
    <phoneticPr fontId="2"/>
  </si>
  <si>
    <t>k、l　の本務教職員人件費は人件費支出内訳表の本務教職員の金額です。</t>
    <phoneticPr fontId="2"/>
  </si>
  <si>
    <t>【様式3】積算基礎3（借入金関係）</t>
    <phoneticPr fontId="2"/>
  </si>
  <si>
    <r>
      <t>1つの借入先で複数の条件の異なる借入があっても借</t>
    </r>
    <r>
      <rPr>
        <sz val="11"/>
        <rFont val="ＭＳ Ｐゴシック"/>
        <family val="3"/>
        <charset val="128"/>
      </rPr>
      <t>入先ごとにまとめて記入してください。</t>
    </r>
    <rPh sb="24" eb="25">
      <t>イ</t>
    </rPh>
    <phoneticPr fontId="2"/>
  </si>
  <si>
    <t>1.</t>
    <phoneticPr fontId="2"/>
  </si>
  <si>
    <t>この財務計画表は当初計画作成年度にかかわらず、作成年度を含めて今後５年間分の見込みを作成してください。</t>
    <rPh sb="31" eb="33">
      <t>コンゴ</t>
    </rPh>
    <rPh sb="34" eb="36">
      <t>ネンカン</t>
    </rPh>
    <phoneticPr fontId="2"/>
  </si>
  <si>
    <t>施設売却収入</t>
    <rPh sb="0" eb="2">
      <t>シセツ</t>
    </rPh>
    <rPh sb="2" eb="4">
      <t>バイキャク</t>
    </rPh>
    <rPh sb="4" eb="6">
      <t>シュウニュウ</t>
    </rPh>
    <phoneticPr fontId="2"/>
  </si>
  <si>
    <t>設備売却収入</t>
    <rPh sb="0" eb="2">
      <t>セツビ</t>
    </rPh>
    <rPh sb="2" eb="4">
      <t>バイキャク</t>
    </rPh>
    <rPh sb="4" eb="6">
      <t>シュウニュウ</t>
    </rPh>
    <phoneticPr fontId="2"/>
  </si>
  <si>
    <t>付随事業・収益事業収入</t>
    <rPh sb="0" eb="2">
      <t>フズイ</t>
    </rPh>
    <rPh sb="2" eb="4">
      <t>ジギョウ</t>
    </rPh>
    <rPh sb="5" eb="7">
      <t>シュウエキ</t>
    </rPh>
    <rPh sb="7" eb="9">
      <t>ジギョウ</t>
    </rPh>
    <rPh sb="9" eb="11">
      <t>シュウニュウ</t>
    </rPh>
    <phoneticPr fontId="2"/>
  </si>
  <si>
    <t>第2号基本金引当特定資産取崩収入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</si>
  <si>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第3号基本金引当特定資産取崩収入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</si>
  <si>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その他引当特定資産取崩収入</t>
    <rPh sb="2" eb="3">
      <t>タ</t>
    </rPh>
    <rPh sb="3" eb="5">
      <t>ヒキアテ</t>
    </rPh>
    <rPh sb="5" eb="7">
      <t>トクテイ</t>
    </rPh>
    <rPh sb="7" eb="9">
      <t>シサン</t>
    </rPh>
    <rPh sb="9" eb="11">
      <t>トリクズシ</t>
    </rPh>
    <rPh sb="11" eb="13">
      <t>シュウニュウ</t>
    </rPh>
    <phoneticPr fontId="2"/>
  </si>
  <si>
    <t>第2号基本金引当特定資産繰入支出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</si>
  <si>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第3号基本金引当特定資産繰入支出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</si>
  <si>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その他引当特定資産繰入支出</t>
    <rPh sb="2" eb="3">
      <t>タ</t>
    </rPh>
    <rPh sb="3" eb="5">
      <t>ヒキアテ</t>
    </rPh>
    <rPh sb="5" eb="7">
      <t>トクテイ</t>
    </rPh>
    <rPh sb="7" eb="9">
      <t>シサン</t>
    </rPh>
    <rPh sb="9" eb="11">
      <t>クリイレ</t>
    </rPh>
    <rPh sb="11" eb="13">
      <t>シシュツ</t>
    </rPh>
    <phoneticPr fontId="2"/>
  </si>
  <si>
    <t>その他資産運用支出</t>
    <rPh sb="2" eb="3">
      <t>タ</t>
    </rPh>
    <rPh sb="3" eb="5">
      <t>シサン</t>
    </rPh>
    <rPh sb="5" eb="7">
      <t>ウンヨウ</t>
    </rPh>
    <rPh sb="7" eb="9">
      <t>シシュツ</t>
    </rPh>
    <phoneticPr fontId="2"/>
  </si>
  <si>
    <t>受取利息・配当金収入</t>
    <rPh sb="0" eb="2">
      <t>ウケトリ</t>
    </rPh>
    <rPh sb="2" eb="4">
      <t>リソク</t>
    </rPh>
    <rPh sb="5" eb="8">
      <t>ハイトウキン</t>
    </rPh>
    <rPh sb="8" eb="10">
      <t>シュウニュウ</t>
    </rPh>
    <phoneticPr fontId="2"/>
  </si>
  <si>
    <t>●活動区分資金収支計算書</t>
    <rPh sb="1" eb="3">
      <t>カツドウ</t>
    </rPh>
    <rPh sb="3" eb="5">
      <t>クブン</t>
    </rPh>
    <rPh sb="5" eb="7">
      <t>シキン</t>
    </rPh>
    <rPh sb="7" eb="9">
      <t>シュウシ</t>
    </rPh>
    <rPh sb="9" eb="12">
      <t>ケイサンショ</t>
    </rPh>
    <phoneticPr fontId="2"/>
  </si>
  <si>
    <t>項　　　　　　　　　　　　目</t>
    <rPh sb="0" eb="1">
      <t>コウ</t>
    </rPh>
    <rPh sb="13" eb="14">
      <t>メ</t>
    </rPh>
    <phoneticPr fontId="1"/>
  </si>
  <si>
    <t>教育活動による資金収支</t>
    <rPh sb="0" eb="2">
      <t>キョウイク</t>
    </rPh>
    <rPh sb="2" eb="4">
      <t>カツドウ</t>
    </rPh>
    <rPh sb="7" eb="9">
      <t>シキン</t>
    </rPh>
    <rPh sb="9" eb="11">
      <t>シュウシ</t>
    </rPh>
    <phoneticPr fontId="2"/>
  </si>
  <si>
    <t>収入</t>
    <rPh sb="0" eb="2">
      <t>シュウニュウ</t>
    </rPh>
    <phoneticPr fontId="2"/>
  </si>
  <si>
    <t>学生生徒等納付金収入</t>
    <phoneticPr fontId="1"/>
  </si>
  <si>
    <t>特別寄付金収入</t>
    <phoneticPr fontId="2"/>
  </si>
  <si>
    <t>経常費等補助金収入</t>
    <rPh sb="0" eb="3">
      <t>ケイジョウヒ</t>
    </rPh>
    <rPh sb="3" eb="4">
      <t>トウ</t>
    </rPh>
    <rPh sb="4" eb="7">
      <t>ホジョキン</t>
    </rPh>
    <rPh sb="7" eb="9">
      <t>シュウニュウ</t>
    </rPh>
    <phoneticPr fontId="2"/>
  </si>
  <si>
    <t>付随事業収入</t>
    <rPh sb="0" eb="2">
      <t>フズイ</t>
    </rPh>
    <rPh sb="2" eb="4">
      <t>ジギョウ</t>
    </rPh>
    <rPh sb="4" eb="6">
      <t>シュウニュウ</t>
    </rPh>
    <phoneticPr fontId="2"/>
  </si>
  <si>
    <t>その他上記以外の収入（教育活動）</t>
    <rPh sb="2" eb="3">
      <t>タ</t>
    </rPh>
    <rPh sb="3" eb="5">
      <t>ジョウキ</t>
    </rPh>
    <rPh sb="5" eb="7">
      <t>イガイ</t>
    </rPh>
    <rPh sb="8" eb="10">
      <t>シュウニュウ</t>
    </rPh>
    <rPh sb="11" eb="13">
      <t>キョウイク</t>
    </rPh>
    <rPh sb="13" eb="15">
      <t>カツドウ</t>
    </rPh>
    <phoneticPr fontId="2"/>
  </si>
  <si>
    <t>教育活動資金収入計</t>
    <rPh sb="0" eb="2">
      <t>キョウイク</t>
    </rPh>
    <rPh sb="2" eb="4">
      <t>カツドウ</t>
    </rPh>
    <rPh sb="4" eb="6">
      <t>シキン</t>
    </rPh>
    <rPh sb="6" eb="8">
      <t>シュウニュウ</t>
    </rPh>
    <rPh sb="8" eb="9">
      <t>ケイ</t>
    </rPh>
    <phoneticPr fontId="1"/>
  </si>
  <si>
    <t>支出</t>
    <rPh sb="0" eb="2">
      <t>シシュツ</t>
    </rPh>
    <phoneticPr fontId="2"/>
  </si>
  <si>
    <t>差引</t>
    <rPh sb="0" eb="2">
      <t>サシヒキ</t>
    </rPh>
    <phoneticPr fontId="2"/>
  </si>
  <si>
    <t>調整勘定等</t>
    <rPh sb="0" eb="2">
      <t>チョウセイ</t>
    </rPh>
    <rPh sb="2" eb="4">
      <t>カンジョウ</t>
    </rPh>
    <rPh sb="4" eb="5">
      <t>トウ</t>
    </rPh>
    <phoneticPr fontId="2"/>
  </si>
  <si>
    <t>教育活動資金収支差額</t>
    <rPh sb="0" eb="2">
      <t>キョウイク</t>
    </rPh>
    <rPh sb="2" eb="4">
      <t>カツドウ</t>
    </rPh>
    <rPh sb="4" eb="6">
      <t>シキン</t>
    </rPh>
    <rPh sb="6" eb="8">
      <t>シュウシ</t>
    </rPh>
    <rPh sb="8" eb="10">
      <t>サガク</t>
    </rPh>
    <phoneticPr fontId="2"/>
  </si>
  <si>
    <t>施設整備等活動による資金収支</t>
    <phoneticPr fontId="2"/>
  </si>
  <si>
    <t>施設設備寄付金収入</t>
    <rPh sb="0" eb="2">
      <t>シセツ</t>
    </rPh>
    <rPh sb="2" eb="4">
      <t>セツビ</t>
    </rPh>
    <phoneticPr fontId="2"/>
  </si>
  <si>
    <t>施設設備補助金収入</t>
    <rPh sb="0" eb="2">
      <t>シセツ</t>
    </rPh>
    <rPh sb="2" eb="4">
      <t>セツビ</t>
    </rPh>
    <phoneticPr fontId="2"/>
  </si>
  <si>
    <t>施設設備売却収入</t>
    <rPh sb="0" eb="2">
      <t>シセツ</t>
    </rPh>
    <rPh sb="2" eb="4">
      <t>セツビ</t>
    </rPh>
    <phoneticPr fontId="2"/>
  </si>
  <si>
    <t>その他上記以外の収入（施設整備活動）</t>
    <rPh sb="2" eb="3">
      <t>タ</t>
    </rPh>
    <rPh sb="3" eb="5">
      <t>ジョウキ</t>
    </rPh>
    <rPh sb="5" eb="7">
      <t>イガイ</t>
    </rPh>
    <rPh sb="8" eb="10">
      <t>シュウニュウ</t>
    </rPh>
    <rPh sb="11" eb="13">
      <t>シセツ</t>
    </rPh>
    <rPh sb="13" eb="15">
      <t>セイビ</t>
    </rPh>
    <rPh sb="15" eb="17">
      <t>カツドウ</t>
    </rPh>
    <phoneticPr fontId="1"/>
  </si>
  <si>
    <t>施設整備等活動資金収入計</t>
    <rPh sb="0" eb="2">
      <t>シセツ</t>
    </rPh>
    <rPh sb="2" eb="4">
      <t>セイビ</t>
    </rPh>
    <rPh sb="4" eb="5">
      <t>トウ</t>
    </rPh>
    <rPh sb="5" eb="7">
      <t>カツドウ</t>
    </rPh>
    <rPh sb="7" eb="9">
      <t>シキン</t>
    </rPh>
    <rPh sb="9" eb="11">
      <t>シュウニュウ</t>
    </rPh>
    <rPh sb="11" eb="12">
      <t>ケイ</t>
    </rPh>
    <phoneticPr fontId="1"/>
  </si>
  <si>
    <t>その他引当特定資産繰入支出</t>
    <rPh sb="2" eb="3">
      <t>タ</t>
    </rPh>
    <rPh sb="3" eb="5">
      <t>ヒキアテ</t>
    </rPh>
    <rPh sb="5" eb="7">
      <t>トクテイ</t>
    </rPh>
    <rPh sb="7" eb="9">
      <t>シサン</t>
    </rPh>
    <rPh sb="9" eb="11">
      <t>クリイレ</t>
    </rPh>
    <rPh sb="11" eb="13">
      <t>シシュツ</t>
    </rPh>
    <phoneticPr fontId="1"/>
  </si>
  <si>
    <t>その他上記以外の支出（施設整備活動）</t>
    <rPh sb="2" eb="3">
      <t>タ</t>
    </rPh>
    <rPh sb="3" eb="5">
      <t>ジョウキ</t>
    </rPh>
    <rPh sb="5" eb="7">
      <t>イガイ</t>
    </rPh>
    <rPh sb="8" eb="10">
      <t>シシュツ</t>
    </rPh>
    <rPh sb="11" eb="13">
      <t>シセツ</t>
    </rPh>
    <rPh sb="13" eb="15">
      <t>セイビ</t>
    </rPh>
    <rPh sb="15" eb="17">
      <t>カツドウ</t>
    </rPh>
    <phoneticPr fontId="1"/>
  </si>
  <si>
    <t>施設整備等活動資金支出計</t>
    <rPh sb="0" eb="2">
      <t>シセツ</t>
    </rPh>
    <rPh sb="2" eb="4">
      <t>セイビ</t>
    </rPh>
    <rPh sb="4" eb="5">
      <t>トウ</t>
    </rPh>
    <rPh sb="5" eb="7">
      <t>カツドウ</t>
    </rPh>
    <rPh sb="7" eb="9">
      <t>シキン</t>
    </rPh>
    <rPh sb="9" eb="11">
      <t>シシュツ</t>
    </rPh>
    <rPh sb="11" eb="12">
      <t>ケイ</t>
    </rPh>
    <phoneticPr fontId="1"/>
  </si>
  <si>
    <t>施設整備等活動資金収支差額</t>
    <rPh sb="0" eb="2">
      <t>シセツ</t>
    </rPh>
    <rPh sb="2" eb="4">
      <t>セイビ</t>
    </rPh>
    <rPh sb="4" eb="5">
      <t>トウ</t>
    </rPh>
    <rPh sb="5" eb="7">
      <t>カツドウ</t>
    </rPh>
    <rPh sb="7" eb="9">
      <t>シキン</t>
    </rPh>
    <rPh sb="9" eb="11">
      <t>シュウシ</t>
    </rPh>
    <rPh sb="11" eb="13">
      <t>サガク</t>
    </rPh>
    <phoneticPr fontId="2"/>
  </si>
  <si>
    <t>小計（教育活動資金収支差額+施設整備等活動資金収支差額）</t>
    <rPh sb="0" eb="2">
      <t>ショウケイ</t>
    </rPh>
    <rPh sb="3" eb="5">
      <t>キョウイク</t>
    </rPh>
    <rPh sb="5" eb="7">
      <t>カツドウ</t>
    </rPh>
    <rPh sb="7" eb="9">
      <t>シキン</t>
    </rPh>
    <rPh sb="9" eb="11">
      <t>シュウシ</t>
    </rPh>
    <rPh sb="11" eb="13">
      <t>サガク</t>
    </rPh>
    <rPh sb="14" eb="16">
      <t>シセツ</t>
    </rPh>
    <rPh sb="16" eb="18">
      <t>セイビ</t>
    </rPh>
    <rPh sb="18" eb="19">
      <t>トウ</t>
    </rPh>
    <rPh sb="19" eb="21">
      <t>カツドウ</t>
    </rPh>
    <rPh sb="21" eb="23">
      <t>シキン</t>
    </rPh>
    <rPh sb="23" eb="25">
      <t>シュウシ</t>
    </rPh>
    <rPh sb="25" eb="27">
      <t>サガク</t>
    </rPh>
    <phoneticPr fontId="2"/>
  </si>
  <si>
    <t>その他の活動による資金収支</t>
    <rPh sb="2" eb="3">
      <t>タ</t>
    </rPh>
    <rPh sb="4" eb="6">
      <t>カツドウ</t>
    </rPh>
    <rPh sb="9" eb="11">
      <t>シキン</t>
    </rPh>
    <rPh sb="11" eb="13">
      <t>シュウシ</t>
    </rPh>
    <phoneticPr fontId="2"/>
  </si>
  <si>
    <t>借入金等収入</t>
    <phoneticPr fontId="2"/>
  </si>
  <si>
    <t>有価証券売却収入</t>
    <rPh sb="0" eb="2">
      <t>ユウカ</t>
    </rPh>
    <rPh sb="2" eb="4">
      <t>ショウケン</t>
    </rPh>
    <rPh sb="4" eb="6">
      <t>バイキャク</t>
    </rPh>
    <rPh sb="6" eb="8">
      <t>シュウニュウ</t>
    </rPh>
    <phoneticPr fontId="2"/>
  </si>
  <si>
    <t>その他引当特定資産取崩収入</t>
    <rPh sb="2" eb="3">
      <t>タ</t>
    </rPh>
    <rPh sb="3" eb="5">
      <t>ヒキアテ</t>
    </rPh>
    <rPh sb="5" eb="7">
      <t>トクテイ</t>
    </rPh>
    <rPh sb="7" eb="9">
      <t>シサン</t>
    </rPh>
    <rPh sb="9" eb="11">
      <t>トリクズシ</t>
    </rPh>
    <rPh sb="11" eb="13">
      <t>シュウニュウ</t>
    </rPh>
    <phoneticPr fontId="1"/>
  </si>
  <si>
    <t>その他資産売却収入・その他のその他収入</t>
    <rPh sb="2" eb="3">
      <t>タ</t>
    </rPh>
    <rPh sb="3" eb="5">
      <t>シサン</t>
    </rPh>
    <rPh sb="5" eb="7">
      <t>バイキャク</t>
    </rPh>
    <rPh sb="7" eb="9">
      <t>シュウニュウ</t>
    </rPh>
    <rPh sb="12" eb="13">
      <t>タ</t>
    </rPh>
    <rPh sb="16" eb="17">
      <t>タ</t>
    </rPh>
    <rPh sb="17" eb="19">
      <t>シュウニュウ</t>
    </rPh>
    <phoneticPr fontId="2"/>
  </si>
  <si>
    <t>その他の活動資金収入小計</t>
    <rPh sb="2" eb="3">
      <t>タ</t>
    </rPh>
    <rPh sb="4" eb="6">
      <t>カツドウ</t>
    </rPh>
    <rPh sb="6" eb="8">
      <t>シキン</t>
    </rPh>
    <rPh sb="8" eb="10">
      <t>シュウニュウ</t>
    </rPh>
    <rPh sb="10" eb="12">
      <t>ショウケイ</t>
    </rPh>
    <phoneticPr fontId="2"/>
  </si>
  <si>
    <t>収益事業収入</t>
    <rPh sb="0" eb="2">
      <t>シュウエキ</t>
    </rPh>
    <rPh sb="2" eb="4">
      <t>ジギョウ</t>
    </rPh>
    <rPh sb="4" eb="6">
      <t>シュウニュウ</t>
    </rPh>
    <phoneticPr fontId="2"/>
  </si>
  <si>
    <t>その他上記以外の収入（その他活動）</t>
    <rPh sb="2" eb="3">
      <t>タ</t>
    </rPh>
    <rPh sb="3" eb="5">
      <t>ジョウキ</t>
    </rPh>
    <rPh sb="5" eb="7">
      <t>イガイ</t>
    </rPh>
    <rPh sb="8" eb="10">
      <t>シュウニュウ</t>
    </rPh>
    <rPh sb="13" eb="14">
      <t>タ</t>
    </rPh>
    <rPh sb="14" eb="16">
      <t>カツドウ</t>
    </rPh>
    <phoneticPr fontId="2"/>
  </si>
  <si>
    <t>その他の活動資金収入計</t>
    <rPh sb="2" eb="3">
      <t>タ</t>
    </rPh>
    <rPh sb="4" eb="6">
      <t>カツドウ</t>
    </rPh>
    <rPh sb="6" eb="8">
      <t>シキン</t>
    </rPh>
    <rPh sb="8" eb="10">
      <t>シュウニュウ</t>
    </rPh>
    <rPh sb="10" eb="11">
      <t>ケイ</t>
    </rPh>
    <phoneticPr fontId="1"/>
  </si>
  <si>
    <t>借入金等返済支出</t>
    <phoneticPr fontId="2"/>
  </si>
  <si>
    <t>有価証券購入支出</t>
    <rPh sb="0" eb="2">
      <t>ユウカ</t>
    </rPh>
    <rPh sb="2" eb="4">
      <t>ショウケン</t>
    </rPh>
    <rPh sb="4" eb="6">
      <t>コウニュウ</t>
    </rPh>
    <rPh sb="6" eb="8">
      <t>シシュツ</t>
    </rPh>
    <phoneticPr fontId="2"/>
  </si>
  <si>
    <t>その他資産運用支出・その他支払い支出</t>
    <rPh sb="2" eb="3">
      <t>タ</t>
    </rPh>
    <rPh sb="3" eb="5">
      <t>シサン</t>
    </rPh>
    <rPh sb="5" eb="7">
      <t>ウンヨウ</t>
    </rPh>
    <rPh sb="7" eb="9">
      <t>シシュツ</t>
    </rPh>
    <rPh sb="12" eb="13">
      <t>タ</t>
    </rPh>
    <rPh sb="13" eb="15">
      <t>シハラ</t>
    </rPh>
    <rPh sb="16" eb="18">
      <t>シシュツ</t>
    </rPh>
    <phoneticPr fontId="2"/>
  </si>
  <si>
    <t>その他の活動資金支出小計</t>
    <rPh sb="2" eb="3">
      <t>タ</t>
    </rPh>
    <rPh sb="4" eb="6">
      <t>カツドウ</t>
    </rPh>
    <rPh sb="6" eb="8">
      <t>シキン</t>
    </rPh>
    <rPh sb="8" eb="10">
      <t>シシュツ</t>
    </rPh>
    <rPh sb="10" eb="12">
      <t>ショウケイ</t>
    </rPh>
    <phoneticPr fontId="2"/>
  </si>
  <si>
    <t>借入金等利息支出</t>
    <rPh sb="0" eb="2">
      <t>カリイレ</t>
    </rPh>
    <rPh sb="2" eb="3">
      <t>キン</t>
    </rPh>
    <rPh sb="3" eb="4">
      <t>トウ</t>
    </rPh>
    <rPh sb="4" eb="6">
      <t>リソク</t>
    </rPh>
    <rPh sb="6" eb="8">
      <t>シシュツ</t>
    </rPh>
    <phoneticPr fontId="2"/>
  </si>
  <si>
    <t>その他上記以外の支出（その他活動）</t>
    <rPh sb="2" eb="3">
      <t>タ</t>
    </rPh>
    <rPh sb="3" eb="5">
      <t>ジョウキ</t>
    </rPh>
    <rPh sb="5" eb="7">
      <t>イガイ</t>
    </rPh>
    <rPh sb="8" eb="10">
      <t>シシュツ</t>
    </rPh>
    <rPh sb="13" eb="14">
      <t>タ</t>
    </rPh>
    <rPh sb="14" eb="16">
      <t>カツドウ</t>
    </rPh>
    <phoneticPr fontId="2"/>
  </si>
  <si>
    <t>差引</t>
    <phoneticPr fontId="2"/>
  </si>
  <si>
    <t>その他の活動資金収支差額</t>
    <rPh sb="2" eb="3">
      <t>タ</t>
    </rPh>
    <rPh sb="4" eb="6">
      <t>カツドウ</t>
    </rPh>
    <rPh sb="6" eb="8">
      <t>シキン</t>
    </rPh>
    <rPh sb="8" eb="10">
      <t>シュウシ</t>
    </rPh>
    <rPh sb="10" eb="12">
      <t>サガク</t>
    </rPh>
    <phoneticPr fontId="2"/>
  </si>
  <si>
    <t>支払資金の増減額（小計+その他の活動資金収支差額）</t>
    <rPh sb="0" eb="2">
      <t>シハライ</t>
    </rPh>
    <rPh sb="2" eb="4">
      <t>シキン</t>
    </rPh>
    <rPh sb="5" eb="8">
      <t>ゾウゲンガク</t>
    </rPh>
    <rPh sb="9" eb="11">
      <t>ショウケイ</t>
    </rPh>
    <rPh sb="14" eb="15">
      <t>タ</t>
    </rPh>
    <rPh sb="16" eb="18">
      <t>カツドウ</t>
    </rPh>
    <rPh sb="18" eb="20">
      <t>シキン</t>
    </rPh>
    <rPh sb="20" eb="22">
      <t>シュウシ</t>
    </rPh>
    <rPh sb="22" eb="24">
      <t>サガク</t>
    </rPh>
    <phoneticPr fontId="2"/>
  </si>
  <si>
    <t>前年度繰越支払資金</t>
    <rPh sb="0" eb="3">
      <t>ゼンネンド</t>
    </rPh>
    <rPh sb="3" eb="5">
      <t>クリコシ</t>
    </rPh>
    <rPh sb="5" eb="7">
      <t>シハライ</t>
    </rPh>
    <rPh sb="7" eb="9">
      <t>シキン</t>
    </rPh>
    <phoneticPr fontId="2"/>
  </si>
  <si>
    <t>翌年度繰越支払資金</t>
    <rPh sb="0" eb="3">
      <t>ヨクネンド</t>
    </rPh>
    <rPh sb="3" eb="5">
      <t>クリコシ</t>
    </rPh>
    <rPh sb="5" eb="7">
      <t>シハライ</t>
    </rPh>
    <rPh sb="7" eb="9">
      <t>シキン</t>
    </rPh>
    <phoneticPr fontId="2"/>
  </si>
  <si>
    <t xml:space="preserve"> 施設設備寄付金収入</t>
    <rPh sb="1" eb="3">
      <t>シセツ</t>
    </rPh>
    <rPh sb="3" eb="5">
      <t>セツビ</t>
    </rPh>
    <rPh sb="5" eb="8">
      <t>キフキン</t>
    </rPh>
    <rPh sb="8" eb="10">
      <t>シュウニュウ</t>
    </rPh>
    <phoneticPr fontId="2"/>
  </si>
  <si>
    <t xml:space="preserve"> 施設設備補助金収入</t>
    <rPh sb="1" eb="3">
      <t>シセツ</t>
    </rPh>
    <rPh sb="3" eb="5">
      <t>セツビ</t>
    </rPh>
    <rPh sb="5" eb="8">
      <t>ホジョキン</t>
    </rPh>
    <rPh sb="8" eb="10">
      <t>シュウニュウ</t>
    </rPh>
    <phoneticPr fontId="2"/>
  </si>
  <si>
    <t xml:space="preserve"> 収益事業収入</t>
    <rPh sb="1" eb="3">
      <t>シュウエキ</t>
    </rPh>
    <rPh sb="3" eb="5">
      <t>ジギョウ</t>
    </rPh>
    <rPh sb="5" eb="7">
      <t>シュウニュウ</t>
    </rPh>
    <phoneticPr fontId="2"/>
  </si>
  <si>
    <t xml:space="preserve"> 過年度修正収入</t>
    <rPh sb="1" eb="4">
      <t>カネンド</t>
    </rPh>
    <rPh sb="4" eb="6">
      <t>シュウセイ</t>
    </rPh>
    <rPh sb="6" eb="8">
      <t>シュウニュウ</t>
    </rPh>
    <phoneticPr fontId="2"/>
  </si>
  <si>
    <t xml:space="preserve"> その他引当特定資産取崩収入（施設設備に係るもの）</t>
    <rPh sb="15" eb="17">
      <t>シセツ</t>
    </rPh>
    <rPh sb="17" eb="19">
      <t>セツビ</t>
    </rPh>
    <rPh sb="20" eb="21">
      <t>カカ</t>
    </rPh>
    <phoneticPr fontId="2"/>
  </si>
  <si>
    <t xml:space="preserve"> デリバティブ解約損支出</t>
    <rPh sb="7" eb="9">
      <t>カイヤク</t>
    </rPh>
    <rPh sb="9" eb="10">
      <t>ソン</t>
    </rPh>
    <rPh sb="10" eb="12">
      <t>シシュツ</t>
    </rPh>
    <phoneticPr fontId="2"/>
  </si>
  <si>
    <t xml:space="preserve"> 過年度修正支出</t>
    <rPh sb="1" eb="4">
      <t>カネンド</t>
    </rPh>
    <rPh sb="4" eb="6">
      <t>シュウセイ</t>
    </rPh>
    <rPh sb="6" eb="8">
      <t>シシュツ</t>
    </rPh>
    <phoneticPr fontId="1"/>
  </si>
  <si>
    <t xml:space="preserve"> その他引当特定資産繰入支出（施設設備に係るもの）</t>
    <rPh sb="3" eb="4">
      <t>タ</t>
    </rPh>
    <rPh sb="4" eb="6">
      <t>ヒキアテ</t>
    </rPh>
    <rPh sb="6" eb="8">
      <t>トクテイ</t>
    </rPh>
    <rPh sb="8" eb="10">
      <t>シサン</t>
    </rPh>
    <rPh sb="10" eb="12">
      <t>クリイレ</t>
    </rPh>
    <rPh sb="12" eb="14">
      <t>シシュツ</t>
    </rPh>
    <rPh sb="15" eb="17">
      <t>シセツ</t>
    </rPh>
    <rPh sb="17" eb="19">
      <t>セツビ</t>
    </rPh>
    <rPh sb="20" eb="21">
      <t>カカ</t>
    </rPh>
    <phoneticPr fontId="2"/>
  </si>
  <si>
    <t>施設売却収入</t>
    <rPh sb="0" eb="2">
      <t>シセツ</t>
    </rPh>
    <phoneticPr fontId="2"/>
  </si>
  <si>
    <t>その他引当特定資産取崩収入</t>
    <rPh sb="2" eb="3">
      <t>タ</t>
    </rPh>
    <rPh sb="9" eb="11">
      <t>トリクズシ</t>
    </rPh>
    <phoneticPr fontId="2"/>
  </si>
  <si>
    <t>第3号基本金引当特定資産繰入支出</t>
    <rPh sb="14" eb="16">
      <t>シシュツ</t>
    </rPh>
    <phoneticPr fontId="2"/>
  </si>
  <si>
    <t>その他引当特定資産繰入支出</t>
    <rPh sb="2" eb="3">
      <t>タ</t>
    </rPh>
    <rPh sb="9" eb="11">
      <t>クリイレ</t>
    </rPh>
    <rPh sb="11" eb="13">
      <t>シシュツ</t>
    </rPh>
    <phoneticPr fontId="2"/>
  </si>
  <si>
    <t>項　　　　　　　　　　　　目</t>
    <phoneticPr fontId="1"/>
  </si>
  <si>
    <t>教育活動収支</t>
    <rPh sb="0" eb="2">
      <t>キョウイク</t>
    </rPh>
    <rPh sb="2" eb="4">
      <t>カツドウ</t>
    </rPh>
    <rPh sb="4" eb="6">
      <t>シュウシ</t>
    </rPh>
    <phoneticPr fontId="1"/>
  </si>
  <si>
    <t>事業活動収入の部</t>
    <rPh sb="0" eb="2">
      <t>ジギョウ</t>
    </rPh>
    <rPh sb="2" eb="4">
      <t>カツドウ</t>
    </rPh>
    <rPh sb="4" eb="6">
      <t>シュウニュウ</t>
    </rPh>
    <rPh sb="7" eb="8">
      <t>ブ</t>
    </rPh>
    <phoneticPr fontId="1"/>
  </si>
  <si>
    <t>付随事業収入</t>
    <rPh sb="0" eb="2">
      <t>フズイ</t>
    </rPh>
    <rPh sb="2" eb="4">
      <t>ジギョウ</t>
    </rPh>
    <rPh sb="4" eb="6">
      <t>シュウニュウ</t>
    </rPh>
    <phoneticPr fontId="1"/>
  </si>
  <si>
    <t>教育活動収入計</t>
    <rPh sb="0" eb="2">
      <t>キョウイク</t>
    </rPh>
    <rPh sb="2" eb="4">
      <t>カツドウ</t>
    </rPh>
    <rPh sb="4" eb="6">
      <t>シュウニュウ</t>
    </rPh>
    <rPh sb="6" eb="7">
      <t>ケイ</t>
    </rPh>
    <phoneticPr fontId="1"/>
  </si>
  <si>
    <t>事業活動支出の部</t>
    <rPh sb="0" eb="2">
      <t>ジギョウ</t>
    </rPh>
    <rPh sb="2" eb="4">
      <t>カツドウ</t>
    </rPh>
    <rPh sb="4" eb="6">
      <t>シシュツ</t>
    </rPh>
    <rPh sb="7" eb="8">
      <t>ブ</t>
    </rPh>
    <phoneticPr fontId="1"/>
  </si>
  <si>
    <t>徴収不能額等</t>
    <rPh sb="0" eb="2">
      <t>チョウシュウ</t>
    </rPh>
    <rPh sb="2" eb="4">
      <t>フノウ</t>
    </rPh>
    <rPh sb="4" eb="5">
      <t>ガク</t>
    </rPh>
    <rPh sb="5" eb="6">
      <t>トウ</t>
    </rPh>
    <phoneticPr fontId="1"/>
  </si>
  <si>
    <t>教育活動支出計</t>
    <rPh sb="0" eb="2">
      <t>キョウイク</t>
    </rPh>
    <rPh sb="2" eb="4">
      <t>カツドウ</t>
    </rPh>
    <rPh sb="4" eb="6">
      <t>シシュツ</t>
    </rPh>
    <rPh sb="6" eb="7">
      <t>ケイ</t>
    </rPh>
    <phoneticPr fontId="1"/>
  </si>
  <si>
    <t>教育活動収支差額</t>
    <rPh sb="0" eb="2">
      <t>キョウイク</t>
    </rPh>
    <rPh sb="2" eb="4">
      <t>カツドウ</t>
    </rPh>
    <rPh sb="4" eb="6">
      <t>シュウシ</t>
    </rPh>
    <rPh sb="6" eb="8">
      <t>サガク</t>
    </rPh>
    <phoneticPr fontId="1"/>
  </si>
  <si>
    <t>教育活動外収支</t>
    <rPh sb="0" eb="2">
      <t>キョウイク</t>
    </rPh>
    <rPh sb="2" eb="4">
      <t>カツドウ</t>
    </rPh>
    <rPh sb="4" eb="5">
      <t>ガイ</t>
    </rPh>
    <rPh sb="5" eb="7">
      <t>シュウシ</t>
    </rPh>
    <phoneticPr fontId="1"/>
  </si>
  <si>
    <t>受取利息・配当金</t>
    <rPh sb="0" eb="2">
      <t>ウケトリ</t>
    </rPh>
    <rPh sb="2" eb="4">
      <t>リソク</t>
    </rPh>
    <rPh sb="5" eb="8">
      <t>ハイトウキン</t>
    </rPh>
    <phoneticPr fontId="1"/>
  </si>
  <si>
    <t>その他の教育活動外収入</t>
    <rPh sb="2" eb="3">
      <t>タ</t>
    </rPh>
    <rPh sb="4" eb="6">
      <t>キョウイク</t>
    </rPh>
    <rPh sb="6" eb="8">
      <t>カツドウ</t>
    </rPh>
    <rPh sb="8" eb="9">
      <t>ガイ</t>
    </rPh>
    <rPh sb="9" eb="11">
      <t>シュウニュウ</t>
    </rPh>
    <phoneticPr fontId="1"/>
  </si>
  <si>
    <t>教育活動外収入計</t>
    <rPh sb="0" eb="2">
      <t>キョウイク</t>
    </rPh>
    <rPh sb="2" eb="4">
      <t>カツドウ</t>
    </rPh>
    <rPh sb="4" eb="5">
      <t>ガイ</t>
    </rPh>
    <rPh sb="5" eb="7">
      <t>シュウニュウ</t>
    </rPh>
    <rPh sb="7" eb="8">
      <t>ケイ</t>
    </rPh>
    <phoneticPr fontId="1"/>
  </si>
  <si>
    <t>借入金等利息</t>
    <rPh sb="0" eb="2">
      <t>カリイレ</t>
    </rPh>
    <rPh sb="2" eb="3">
      <t>キン</t>
    </rPh>
    <rPh sb="3" eb="4">
      <t>トウ</t>
    </rPh>
    <rPh sb="4" eb="6">
      <t>リソク</t>
    </rPh>
    <phoneticPr fontId="1"/>
  </si>
  <si>
    <t>その他の教育活動外支出</t>
    <rPh sb="2" eb="3">
      <t>タ</t>
    </rPh>
    <rPh sb="4" eb="6">
      <t>キョウイク</t>
    </rPh>
    <rPh sb="6" eb="8">
      <t>カツドウ</t>
    </rPh>
    <rPh sb="8" eb="9">
      <t>ガイ</t>
    </rPh>
    <rPh sb="9" eb="11">
      <t>シシュツ</t>
    </rPh>
    <phoneticPr fontId="1"/>
  </si>
  <si>
    <t>教育活動外支出計</t>
    <rPh sb="5" eb="7">
      <t>シシュツ</t>
    </rPh>
    <phoneticPr fontId="1"/>
  </si>
  <si>
    <t>教育活動外収支差額</t>
    <rPh sb="4" eb="5">
      <t>ガイ</t>
    </rPh>
    <phoneticPr fontId="1"/>
  </si>
  <si>
    <t>経常収支差額</t>
    <rPh sb="0" eb="2">
      <t>ケイジョウ</t>
    </rPh>
    <rPh sb="2" eb="4">
      <t>シュウシ</t>
    </rPh>
    <rPh sb="4" eb="6">
      <t>サガク</t>
    </rPh>
    <phoneticPr fontId="1"/>
  </si>
  <si>
    <t>特別収支</t>
    <rPh sb="0" eb="2">
      <t>トクベツ</t>
    </rPh>
    <rPh sb="2" eb="4">
      <t>シュウシ</t>
    </rPh>
    <phoneticPr fontId="1"/>
  </si>
  <si>
    <t>その他の特別収入</t>
    <rPh sb="2" eb="3">
      <t>タ</t>
    </rPh>
    <rPh sb="4" eb="6">
      <t>トクベツ</t>
    </rPh>
    <rPh sb="6" eb="8">
      <t>シュウニュウ</t>
    </rPh>
    <phoneticPr fontId="1"/>
  </si>
  <si>
    <t>特別収入計</t>
    <rPh sb="0" eb="2">
      <t>トクベツ</t>
    </rPh>
    <rPh sb="2" eb="4">
      <t>シュウニュウ</t>
    </rPh>
    <rPh sb="4" eb="5">
      <t>ケイ</t>
    </rPh>
    <phoneticPr fontId="1"/>
  </si>
  <si>
    <t>事業活動支出の部</t>
    <rPh sb="4" eb="6">
      <t>シシュツ</t>
    </rPh>
    <phoneticPr fontId="1"/>
  </si>
  <si>
    <t>その他の特別支出</t>
    <rPh sb="2" eb="3">
      <t>タ</t>
    </rPh>
    <rPh sb="4" eb="6">
      <t>トクベツ</t>
    </rPh>
    <rPh sb="6" eb="8">
      <t>シシュツ</t>
    </rPh>
    <phoneticPr fontId="1"/>
  </si>
  <si>
    <t>特別支出計</t>
    <rPh sb="0" eb="2">
      <t>トクベツ</t>
    </rPh>
    <rPh sb="2" eb="4">
      <t>シシュツ</t>
    </rPh>
    <rPh sb="4" eb="5">
      <t>ケイ</t>
    </rPh>
    <phoneticPr fontId="1"/>
  </si>
  <si>
    <t>特別収支差額</t>
    <rPh sb="0" eb="2">
      <t>トクベツ</t>
    </rPh>
    <rPh sb="2" eb="4">
      <t>シュウシ</t>
    </rPh>
    <rPh sb="4" eb="6">
      <t>サガク</t>
    </rPh>
    <phoneticPr fontId="1"/>
  </si>
  <si>
    <t>基本金組入前当年度収支差額</t>
    <rPh sb="0" eb="2">
      <t>キホン</t>
    </rPh>
    <rPh sb="2" eb="3">
      <t>キン</t>
    </rPh>
    <rPh sb="3" eb="5">
      <t>クミイレ</t>
    </rPh>
    <rPh sb="5" eb="6">
      <t>マエ</t>
    </rPh>
    <rPh sb="6" eb="9">
      <t>トウネンド</t>
    </rPh>
    <rPh sb="9" eb="11">
      <t>シュウシ</t>
    </rPh>
    <rPh sb="11" eb="13">
      <t>サガク</t>
    </rPh>
    <phoneticPr fontId="1"/>
  </si>
  <si>
    <t>（参考）</t>
    <rPh sb="1" eb="3">
      <t>サンコウ</t>
    </rPh>
    <phoneticPr fontId="1"/>
  </si>
  <si>
    <t>事業活動収入計</t>
    <rPh sb="0" eb="2">
      <t>ジギョウ</t>
    </rPh>
    <rPh sb="2" eb="4">
      <t>カツドウ</t>
    </rPh>
    <rPh sb="4" eb="6">
      <t>シュウニュウ</t>
    </rPh>
    <rPh sb="6" eb="7">
      <t>ケイ</t>
    </rPh>
    <phoneticPr fontId="1"/>
  </si>
  <si>
    <t>事業活動支出計</t>
    <rPh sb="0" eb="2">
      <t>ジギョウ</t>
    </rPh>
    <rPh sb="2" eb="4">
      <t>カツドウ</t>
    </rPh>
    <rPh sb="4" eb="6">
      <t>シシュツ</t>
    </rPh>
    <rPh sb="6" eb="7">
      <t>ケイ</t>
    </rPh>
    <phoneticPr fontId="1"/>
  </si>
  <si>
    <t xml:space="preserve"> 資産処分差額</t>
    <phoneticPr fontId="1"/>
  </si>
  <si>
    <t xml:space="preserve"> 徴収不能額等</t>
    <rPh sb="1" eb="3">
      <t>チョウシュウ</t>
    </rPh>
    <rPh sb="3" eb="5">
      <t>フノウ</t>
    </rPh>
    <rPh sb="5" eb="6">
      <t>ガク</t>
    </rPh>
    <rPh sb="6" eb="7">
      <t>トウ</t>
    </rPh>
    <phoneticPr fontId="2"/>
  </si>
  <si>
    <t>項　　　　　　　　　　　　目</t>
    <phoneticPr fontId="1"/>
  </si>
  <si>
    <t xml:space="preserve"> 徴収不能額等</t>
    <phoneticPr fontId="2"/>
  </si>
  <si>
    <t>活動区分資金収支計算書</t>
    <rPh sb="0" eb="2">
      <t>カツドウ</t>
    </rPh>
    <rPh sb="2" eb="4">
      <t>クブン</t>
    </rPh>
    <rPh sb="4" eb="6">
      <t>シキン</t>
    </rPh>
    <rPh sb="6" eb="8">
      <t>シュウシ</t>
    </rPh>
    <rPh sb="8" eb="11">
      <t>ケイサンショ</t>
    </rPh>
    <phoneticPr fontId="2"/>
  </si>
  <si>
    <t>法人</t>
    <rPh sb="0" eb="2">
      <t>ホウジン</t>
    </rPh>
    <phoneticPr fontId="2"/>
  </si>
  <si>
    <t>有価証券購入支出</t>
    <rPh sb="4" eb="6">
      <t>コウニュウ</t>
    </rPh>
    <rPh sb="6" eb="8">
      <t>シシュツ</t>
    </rPh>
    <phoneticPr fontId="2"/>
  </si>
  <si>
    <t>雑収入</t>
    <rPh sb="0" eb="3">
      <t>ザッシュウニュウ</t>
    </rPh>
    <phoneticPr fontId="2"/>
  </si>
  <si>
    <t>【様式6】活動区分資金収支計算書</t>
    <rPh sb="5" eb="7">
      <t>カツドウ</t>
    </rPh>
    <rPh sb="7" eb="9">
      <t>クブン</t>
    </rPh>
    <rPh sb="9" eb="11">
      <t>シキン</t>
    </rPh>
    <rPh sb="11" eb="13">
      <t>シュウシ</t>
    </rPh>
    <rPh sb="13" eb="16">
      <t>ケイサンショ</t>
    </rPh>
    <phoneticPr fontId="2"/>
  </si>
  <si>
    <t>この表は一部項目及び活動区分資金収支に組み替えが必要な項目以外は、原則様式4より自動計算されます。</t>
    <rPh sb="2" eb="3">
      <t>ヒョウ</t>
    </rPh>
    <rPh sb="6" eb="8">
      <t>コウモク</t>
    </rPh>
    <rPh sb="8" eb="9">
      <t>オヨ</t>
    </rPh>
    <rPh sb="10" eb="12">
      <t>カツドウ</t>
    </rPh>
    <rPh sb="12" eb="14">
      <t>クブン</t>
    </rPh>
    <rPh sb="14" eb="16">
      <t>シキン</t>
    </rPh>
    <rPh sb="16" eb="18">
      <t>シュウシ</t>
    </rPh>
    <rPh sb="19" eb="20">
      <t>ク</t>
    </rPh>
    <rPh sb="21" eb="22">
      <t>カ</t>
    </rPh>
    <rPh sb="24" eb="26">
      <t>ヒツヨウ</t>
    </rPh>
    <rPh sb="27" eb="29">
      <t>コウモク</t>
    </rPh>
    <rPh sb="29" eb="31">
      <t>イガイ</t>
    </rPh>
    <rPh sb="33" eb="35">
      <t>ゲンソク</t>
    </rPh>
    <rPh sb="35" eb="37">
      <t>ヨウシキ</t>
    </rPh>
    <rPh sb="40" eb="42">
      <t>ジドウ</t>
    </rPh>
    <rPh sb="42" eb="44">
      <t>ケイサン</t>
    </rPh>
    <phoneticPr fontId="2"/>
  </si>
  <si>
    <t>「教育活動外収支」のうち「その他の教育活動外収入」及び「その他の教育活動外支出」、「特別収支」のうち「その他の特別収入」及び「その他の特別支出」は入力してください。</t>
    <rPh sb="1" eb="3">
      <t>キョウイク</t>
    </rPh>
    <rPh sb="3" eb="5">
      <t>カツドウ</t>
    </rPh>
    <rPh sb="5" eb="6">
      <t>ガイ</t>
    </rPh>
    <rPh sb="6" eb="8">
      <t>シュウシ</t>
    </rPh>
    <rPh sb="15" eb="16">
      <t>タ</t>
    </rPh>
    <rPh sb="17" eb="19">
      <t>キョウイク</t>
    </rPh>
    <rPh sb="19" eb="21">
      <t>カツドウ</t>
    </rPh>
    <rPh sb="21" eb="22">
      <t>ガイ</t>
    </rPh>
    <rPh sb="22" eb="24">
      <t>シュウニュウ</t>
    </rPh>
    <rPh sb="25" eb="26">
      <t>オヨ</t>
    </rPh>
    <rPh sb="30" eb="31">
      <t>タ</t>
    </rPh>
    <rPh sb="32" eb="34">
      <t>キョウイク</t>
    </rPh>
    <rPh sb="34" eb="36">
      <t>カツドウ</t>
    </rPh>
    <rPh sb="36" eb="37">
      <t>ガイ</t>
    </rPh>
    <rPh sb="37" eb="39">
      <t>シシュツ</t>
    </rPh>
    <rPh sb="42" eb="44">
      <t>トクベツ</t>
    </rPh>
    <rPh sb="44" eb="46">
      <t>シュウシ</t>
    </rPh>
    <rPh sb="53" eb="54">
      <t>タ</t>
    </rPh>
    <rPh sb="55" eb="57">
      <t>トクベツ</t>
    </rPh>
    <rPh sb="57" eb="59">
      <t>シュウニュウ</t>
    </rPh>
    <rPh sb="60" eb="61">
      <t>オヨ</t>
    </rPh>
    <rPh sb="65" eb="66">
      <t>タ</t>
    </rPh>
    <rPh sb="67" eb="69">
      <t>トクベツ</t>
    </rPh>
    <rPh sb="69" eb="71">
      <t>シシュツ</t>
    </rPh>
    <rPh sb="73" eb="75">
      <t>ニュウリョク</t>
    </rPh>
    <phoneticPr fontId="2"/>
  </si>
  <si>
    <t>内減価償却額</t>
    <rPh sb="0" eb="1">
      <t>ウチ</t>
    </rPh>
    <rPh sb="1" eb="3">
      <t>ゲンカ</t>
    </rPh>
    <rPh sb="3" eb="5">
      <t>ショウキャク</t>
    </rPh>
    <rPh sb="5" eb="6">
      <t>ガク</t>
    </rPh>
    <phoneticPr fontId="1"/>
  </si>
  <si>
    <r>
      <t>資金収支計算書（法人</t>
    </r>
    <r>
      <rPr>
        <sz val="11"/>
        <rFont val="ＭＳ Ｐゴシック"/>
        <family val="3"/>
        <charset val="128"/>
      </rPr>
      <t>全体）</t>
    </r>
    <rPh sb="0" eb="2">
      <t>シキン</t>
    </rPh>
    <rPh sb="2" eb="4">
      <t>シュウシ</t>
    </rPh>
    <rPh sb="4" eb="6">
      <t>ケイサン</t>
    </rPh>
    <rPh sb="6" eb="7">
      <t>ショ</t>
    </rPh>
    <rPh sb="8" eb="10">
      <t>ホウジン</t>
    </rPh>
    <rPh sb="10" eb="12">
      <t>ゼンタイ</t>
    </rPh>
    <phoneticPr fontId="2"/>
  </si>
  <si>
    <r>
      <t>資金収支計算書（</t>
    </r>
    <r>
      <rPr>
        <sz val="11"/>
        <rFont val="ＭＳ Ｐゴシック"/>
        <family val="3"/>
        <charset val="128"/>
      </rPr>
      <t>学校別）</t>
    </r>
    <rPh sb="0" eb="2">
      <t>シキン</t>
    </rPh>
    <rPh sb="2" eb="4">
      <t>シュウシ</t>
    </rPh>
    <rPh sb="4" eb="6">
      <t>ケイサン</t>
    </rPh>
    <rPh sb="6" eb="7">
      <t>ショ</t>
    </rPh>
    <rPh sb="8" eb="10">
      <t>ガッコウ</t>
    </rPh>
    <rPh sb="10" eb="11">
      <t>ベツ</t>
    </rPh>
    <phoneticPr fontId="2"/>
  </si>
  <si>
    <r>
      <rPr>
        <sz val="11"/>
        <rFont val="ＭＳ Ｐゴシック"/>
        <family val="3"/>
        <charset val="128"/>
      </rPr>
      <t>事業活動収支計算書（法人全体）</t>
    </r>
    <rPh sb="0" eb="2">
      <t>ジギョウ</t>
    </rPh>
    <rPh sb="2" eb="4">
      <t>カツドウ</t>
    </rPh>
    <rPh sb="4" eb="6">
      <t>シュウシ</t>
    </rPh>
    <rPh sb="6" eb="8">
      <t>ケイサン</t>
    </rPh>
    <rPh sb="8" eb="9">
      <t>ショ</t>
    </rPh>
    <rPh sb="10" eb="12">
      <t>ホウジン</t>
    </rPh>
    <rPh sb="12" eb="14">
      <t>ゼンタイ</t>
    </rPh>
    <phoneticPr fontId="2"/>
  </si>
  <si>
    <r>
      <rPr>
        <sz val="11"/>
        <rFont val="ＭＳ Ｐゴシック"/>
        <family val="3"/>
        <charset val="128"/>
      </rPr>
      <t>事業活動収支計算書（学校別）</t>
    </r>
    <rPh sb="0" eb="2">
      <t>ジギョウ</t>
    </rPh>
    <rPh sb="2" eb="4">
      <t>カツドウ</t>
    </rPh>
    <rPh sb="4" eb="6">
      <t>シュウシ</t>
    </rPh>
    <rPh sb="6" eb="8">
      <t>ケイサン</t>
    </rPh>
    <rPh sb="8" eb="9">
      <t>ショ</t>
    </rPh>
    <rPh sb="10" eb="12">
      <t>ガッコウ</t>
    </rPh>
    <rPh sb="12" eb="13">
      <t>ベツ</t>
    </rPh>
    <phoneticPr fontId="2"/>
  </si>
  <si>
    <t>●資金収支計算書（法人全体）</t>
    <rPh sb="1" eb="3">
      <t>シキン</t>
    </rPh>
    <rPh sb="3" eb="5">
      <t>シュウシ</t>
    </rPh>
    <rPh sb="5" eb="7">
      <t>ケイサン</t>
    </rPh>
    <rPh sb="7" eb="8">
      <t>ショ</t>
    </rPh>
    <rPh sb="9" eb="11">
      <t>ホウジン</t>
    </rPh>
    <rPh sb="11" eb="13">
      <t>ゼンタイ</t>
    </rPh>
    <phoneticPr fontId="2"/>
  </si>
  <si>
    <r>
      <t>（様式４）</t>
    </r>
    <r>
      <rPr>
        <sz val="12"/>
        <rFont val="ＭＳ Ｐゴシック"/>
        <family val="3"/>
        <charset val="128"/>
      </rPr>
      <t xml:space="preserve">
</t>
    </r>
    <r>
      <rPr>
        <sz val="14"/>
        <rFont val="ＭＳ Ｐゴシック"/>
        <family val="3"/>
        <charset val="128"/>
      </rPr>
      <t>単位：千円</t>
    </r>
    <rPh sb="1" eb="3">
      <t>ヨウシキ</t>
    </rPh>
    <rPh sb="7" eb="9">
      <t>タンイ</t>
    </rPh>
    <rPh sb="10" eb="12">
      <t>センエン</t>
    </rPh>
    <phoneticPr fontId="2"/>
  </si>
  <si>
    <r>
      <rPr>
        <sz val="18"/>
        <rFont val="ＭＳ Ｐゴシック"/>
        <family val="3"/>
        <charset val="128"/>
      </rPr>
      <t>（様式５）</t>
    </r>
    <r>
      <rPr>
        <sz val="16"/>
        <rFont val="ＭＳ Ｐゴシック"/>
        <family val="3"/>
        <charset val="128"/>
      </rPr>
      <t xml:space="preserve">
</t>
    </r>
    <r>
      <rPr>
        <sz val="14"/>
        <rFont val="ＭＳ Ｐゴシック"/>
        <family val="3"/>
        <charset val="128"/>
      </rPr>
      <t>単位：千円</t>
    </r>
    <rPh sb="1" eb="3">
      <t>ヨウシキ</t>
    </rPh>
    <rPh sb="7" eb="9">
      <t>タンイ</t>
    </rPh>
    <rPh sb="10" eb="12">
      <t>センエン</t>
    </rPh>
    <phoneticPr fontId="2"/>
  </si>
  <si>
    <r>
      <rPr>
        <sz val="18"/>
        <rFont val="ＭＳ Ｐゴシック"/>
        <family val="3"/>
        <charset val="128"/>
      </rPr>
      <t>（様式６）</t>
    </r>
    <r>
      <rPr>
        <sz val="16"/>
        <rFont val="ＭＳ Ｐゴシック"/>
        <family val="3"/>
        <charset val="128"/>
      </rPr>
      <t xml:space="preserve">
</t>
    </r>
    <r>
      <rPr>
        <sz val="12"/>
        <rFont val="ＭＳ Ｐゴシック"/>
        <family val="3"/>
        <charset val="128"/>
      </rPr>
      <t xml:space="preserve">
</t>
    </r>
    <r>
      <rPr>
        <sz val="14"/>
        <rFont val="ＭＳ Ｐゴシック"/>
        <family val="3"/>
        <charset val="128"/>
      </rPr>
      <t>単位：千円</t>
    </r>
    <rPh sb="1" eb="3">
      <t>ヨウシキ</t>
    </rPh>
    <rPh sb="7" eb="9">
      <t>タンイ</t>
    </rPh>
    <rPh sb="10" eb="12">
      <t>センエン</t>
    </rPh>
    <phoneticPr fontId="2"/>
  </si>
  <si>
    <t>○資金収支→活動区分資金収支組替項目</t>
    <rPh sb="1" eb="3">
      <t>シキン</t>
    </rPh>
    <rPh sb="3" eb="5">
      <t>シュウシ</t>
    </rPh>
    <rPh sb="6" eb="8">
      <t>カツドウ</t>
    </rPh>
    <rPh sb="8" eb="10">
      <t>クブン</t>
    </rPh>
    <rPh sb="10" eb="12">
      <t>シキン</t>
    </rPh>
    <rPh sb="12" eb="14">
      <t>シュウシ</t>
    </rPh>
    <rPh sb="14" eb="15">
      <t>ク</t>
    </rPh>
    <rPh sb="15" eb="16">
      <t>カ</t>
    </rPh>
    <rPh sb="16" eb="18">
      <t>コウモク</t>
    </rPh>
    <phoneticPr fontId="1"/>
  </si>
  <si>
    <r>
      <t>（様式７）</t>
    </r>
    <r>
      <rPr>
        <sz val="20"/>
        <rFont val="ＭＳ Ｐゴシック"/>
        <family val="3"/>
        <charset val="128"/>
      </rPr>
      <t xml:space="preserve">
</t>
    </r>
    <r>
      <rPr>
        <sz val="12"/>
        <rFont val="ＭＳ Ｐゴシック"/>
        <family val="3"/>
        <charset val="128"/>
      </rPr>
      <t xml:space="preserve">
</t>
    </r>
    <r>
      <rPr>
        <sz val="14"/>
        <rFont val="ＭＳ Ｐゴシック"/>
        <family val="3"/>
        <charset val="128"/>
      </rPr>
      <t>単位：千円</t>
    </r>
    <rPh sb="1" eb="3">
      <t>ヨウシキ</t>
    </rPh>
    <rPh sb="7" eb="9">
      <t>タンイ</t>
    </rPh>
    <rPh sb="10" eb="12">
      <t>センエン</t>
    </rPh>
    <phoneticPr fontId="2"/>
  </si>
  <si>
    <t>●事業活動収支計算書（法人全体）</t>
    <rPh sb="1" eb="3">
      <t>ジギョウ</t>
    </rPh>
    <rPh sb="3" eb="5">
      <t>カツドウ</t>
    </rPh>
    <rPh sb="11" eb="13">
      <t>ホウジン</t>
    </rPh>
    <rPh sb="13" eb="15">
      <t>ゼンタイ</t>
    </rPh>
    <phoneticPr fontId="2"/>
  </si>
  <si>
    <r>
      <t xml:space="preserve">（様式８）
</t>
    </r>
    <r>
      <rPr>
        <sz val="14"/>
        <rFont val="ＭＳ Ｐゴシック"/>
        <family val="3"/>
        <charset val="128"/>
      </rPr>
      <t xml:space="preserve">
単位：千円</t>
    </r>
    <rPh sb="1" eb="3">
      <t>ヨウシキ</t>
    </rPh>
    <rPh sb="7" eb="9">
      <t>タンイ</t>
    </rPh>
    <rPh sb="10" eb="12">
      <t>センエン</t>
    </rPh>
    <phoneticPr fontId="2"/>
  </si>
  <si>
    <t>○資金収支→事業活動収支組替項目</t>
    <rPh sb="1" eb="3">
      <t>シキン</t>
    </rPh>
    <rPh sb="3" eb="5">
      <t>シュウシ</t>
    </rPh>
    <rPh sb="6" eb="8">
      <t>ジギョウ</t>
    </rPh>
    <rPh sb="8" eb="10">
      <t>カツドウ</t>
    </rPh>
    <rPh sb="10" eb="12">
      <t>シュウシ</t>
    </rPh>
    <rPh sb="12" eb="13">
      <t>ク</t>
    </rPh>
    <rPh sb="13" eb="14">
      <t>カ</t>
    </rPh>
    <rPh sb="14" eb="16">
      <t>コウモク</t>
    </rPh>
    <phoneticPr fontId="1"/>
  </si>
  <si>
    <t xml:space="preserve"> 事業活動収支計算書に計上した退職金</t>
    <rPh sb="1" eb="3">
      <t>ジギョウ</t>
    </rPh>
    <rPh sb="3" eb="5">
      <t>カツドウ</t>
    </rPh>
    <rPh sb="5" eb="7">
      <t>シュウシ</t>
    </rPh>
    <rPh sb="7" eb="10">
      <t>ケイサンショ</t>
    </rPh>
    <rPh sb="11" eb="13">
      <t>ケイジョウ</t>
    </rPh>
    <rPh sb="15" eb="18">
      <t>タイショクキン</t>
    </rPh>
    <phoneticPr fontId="2"/>
  </si>
  <si>
    <r>
      <t xml:space="preserve">（様式９）
</t>
    </r>
    <r>
      <rPr>
        <sz val="14"/>
        <rFont val="ＭＳ Ｐゴシック"/>
        <family val="3"/>
        <charset val="128"/>
      </rPr>
      <t xml:space="preserve">
単位：千円</t>
    </r>
    <rPh sb="1" eb="3">
      <t>ヨウシキ</t>
    </rPh>
    <rPh sb="7" eb="9">
      <t>タンイ</t>
    </rPh>
    <rPh sb="10" eb="12">
      <t>センエン</t>
    </rPh>
    <phoneticPr fontId="2"/>
  </si>
  <si>
    <t>継続２年目以降は年度の経過に応じて作成年度を1年ずつ更新し、直近年度の実績を反映して推計値を算出するようにしてください。</t>
    <rPh sb="0" eb="2">
      <t>ケイゾク</t>
    </rPh>
    <phoneticPr fontId="2"/>
  </si>
  <si>
    <r>
      <t>年度単位の「資金収支計算書（法人</t>
    </r>
    <r>
      <rPr>
        <sz val="11"/>
        <rFont val="ＭＳ Ｐゴシック"/>
        <family val="3"/>
        <charset val="128"/>
      </rPr>
      <t>全体）」の作成年度分を「月別資金繰表（様式７）」に置き換えてください。</t>
    </r>
    <rPh sb="0" eb="2">
      <t>ネンド</t>
    </rPh>
    <rPh sb="2" eb="4">
      <t>タンイ</t>
    </rPh>
    <rPh sb="6" eb="8">
      <t>シキン</t>
    </rPh>
    <rPh sb="8" eb="10">
      <t>シュウシ</t>
    </rPh>
    <rPh sb="10" eb="13">
      <t>ケイサンショ</t>
    </rPh>
    <rPh sb="14" eb="16">
      <t>ホウジン</t>
    </rPh>
    <rPh sb="16" eb="18">
      <t>ゼンタイ</t>
    </rPh>
    <rPh sb="21" eb="23">
      <t>サクセイ</t>
    </rPh>
    <rPh sb="23" eb="25">
      <t>ネンド</t>
    </rPh>
    <rPh sb="25" eb="26">
      <t>ブン</t>
    </rPh>
    <rPh sb="28" eb="30">
      <t>ツキベツ</t>
    </rPh>
    <rPh sb="30" eb="32">
      <t>シキン</t>
    </rPh>
    <rPh sb="32" eb="33">
      <t>グ</t>
    </rPh>
    <rPh sb="33" eb="34">
      <t>ヒョウ</t>
    </rPh>
    <rPh sb="35" eb="37">
      <t>ヨウシキ</t>
    </rPh>
    <rPh sb="41" eb="42">
      <t>オ</t>
    </rPh>
    <rPh sb="43" eb="44">
      <t>カ</t>
    </rPh>
    <phoneticPr fontId="2"/>
  </si>
  <si>
    <r>
      <t>「貸借対照表」の見込記入年度分の値は「資金収支計算</t>
    </r>
    <r>
      <rPr>
        <sz val="11"/>
        <rFont val="ＭＳ Ｐゴシック"/>
        <family val="3"/>
        <charset val="128"/>
      </rPr>
      <t>書」「積算基礎3（借入金関係）」と整合性がとれるようにして作成してください。</t>
    </r>
    <rPh sb="1" eb="3">
      <t>タイシャク</t>
    </rPh>
    <rPh sb="3" eb="6">
      <t>タイショウヒョウ</t>
    </rPh>
    <rPh sb="8" eb="10">
      <t>ミコ</t>
    </rPh>
    <rPh sb="10" eb="12">
      <t>キニュウ</t>
    </rPh>
    <rPh sb="12" eb="14">
      <t>ネンド</t>
    </rPh>
    <rPh sb="14" eb="15">
      <t>ブン</t>
    </rPh>
    <rPh sb="16" eb="17">
      <t>アタイ</t>
    </rPh>
    <rPh sb="19" eb="21">
      <t>シキン</t>
    </rPh>
    <rPh sb="21" eb="23">
      <t>シュウシ</t>
    </rPh>
    <rPh sb="23" eb="25">
      <t>ケイサン</t>
    </rPh>
    <rPh sb="25" eb="26">
      <t>ショ</t>
    </rPh>
    <rPh sb="28" eb="30">
      <t>セキサン</t>
    </rPh>
    <rPh sb="30" eb="32">
      <t>キソ</t>
    </rPh>
    <rPh sb="34" eb="36">
      <t>カリイレ</t>
    </rPh>
    <rPh sb="36" eb="37">
      <t>キン</t>
    </rPh>
    <rPh sb="37" eb="39">
      <t>カンケイ</t>
    </rPh>
    <rPh sb="42" eb="45">
      <t>セイゴウセイ</t>
    </rPh>
    <rPh sb="54" eb="56">
      <t>サクセイ</t>
    </rPh>
    <phoneticPr fontId="2"/>
  </si>
  <si>
    <r>
      <t>【様式</t>
    </r>
    <r>
      <rPr>
        <sz val="11"/>
        <rFont val="ＭＳ Ｐゴシック"/>
        <family val="3"/>
        <charset val="128"/>
      </rPr>
      <t>4】資金収支計算書（法人全体）</t>
    </r>
    <rPh sb="9" eb="11">
      <t>ケイサン</t>
    </rPh>
    <rPh sb="11" eb="12">
      <t>ショ</t>
    </rPh>
    <rPh sb="13" eb="15">
      <t>ホウジン</t>
    </rPh>
    <rPh sb="15" eb="17">
      <t>ゼンタイ</t>
    </rPh>
    <phoneticPr fontId="2"/>
  </si>
  <si>
    <r>
      <t>様式</t>
    </r>
    <r>
      <rPr>
        <sz val="11"/>
        <rFont val="ＭＳ Ｐゴシック"/>
        <family val="3"/>
        <charset val="128"/>
      </rPr>
      <t>5のすべての学校の計が本表と合うようにしてください。</t>
    </r>
    <rPh sb="0" eb="2">
      <t>ヨウシキ</t>
    </rPh>
    <rPh sb="8" eb="10">
      <t>ガッコウ</t>
    </rPh>
    <rPh sb="11" eb="12">
      <t>ケイ</t>
    </rPh>
    <rPh sb="13" eb="14">
      <t>ホン</t>
    </rPh>
    <rPh sb="14" eb="15">
      <t>ヒョウ</t>
    </rPh>
    <rPh sb="16" eb="17">
      <t>ア</t>
    </rPh>
    <phoneticPr fontId="2"/>
  </si>
  <si>
    <r>
      <t>【様式</t>
    </r>
    <r>
      <rPr>
        <sz val="11"/>
        <rFont val="ＭＳ Ｐゴシック"/>
        <family val="3"/>
        <charset val="128"/>
      </rPr>
      <t>5】資金収支計算書（学校別）</t>
    </r>
    <rPh sb="9" eb="11">
      <t>ケイサン</t>
    </rPh>
    <rPh sb="11" eb="12">
      <t>ショ</t>
    </rPh>
    <phoneticPr fontId="2"/>
  </si>
  <si>
    <r>
      <t>【様式</t>
    </r>
    <r>
      <rPr>
        <sz val="11"/>
        <rFont val="ＭＳ Ｐゴシック"/>
        <family val="3"/>
        <charset val="128"/>
      </rPr>
      <t>7】月別資金繰表（法人）</t>
    </r>
    <rPh sb="5" eb="7">
      <t>ツキベツ</t>
    </rPh>
    <rPh sb="7" eb="9">
      <t>シキン</t>
    </rPh>
    <rPh sb="9" eb="10">
      <t>グ</t>
    </rPh>
    <rPh sb="12" eb="14">
      <t>ホウジン</t>
    </rPh>
    <phoneticPr fontId="2"/>
  </si>
  <si>
    <r>
      <t>【様式</t>
    </r>
    <r>
      <rPr>
        <sz val="11"/>
        <rFont val="ＭＳ Ｐゴシック"/>
        <family val="3"/>
        <charset val="128"/>
      </rPr>
      <t>8】事業活動収支計算書（法人全体）</t>
    </r>
    <rPh sb="5" eb="7">
      <t>ジギョウ</t>
    </rPh>
    <rPh sb="7" eb="9">
      <t>カツドウ</t>
    </rPh>
    <rPh sb="15" eb="17">
      <t>ホウジン</t>
    </rPh>
    <rPh sb="17" eb="19">
      <t>ゼンタイ</t>
    </rPh>
    <phoneticPr fontId="2"/>
  </si>
  <si>
    <r>
      <t>この表は</t>
    </r>
    <r>
      <rPr>
        <sz val="11"/>
        <rFont val="ＭＳ Ｐゴシック"/>
        <family val="3"/>
        <charset val="128"/>
      </rPr>
      <t>一部項目及び事業活動収支に組み替えが必要な項目以外は、原則様式4より自動計算されます。</t>
    </r>
    <rPh sb="4" eb="6">
      <t>イチブ</t>
    </rPh>
    <rPh sb="6" eb="8">
      <t>コウモク</t>
    </rPh>
    <rPh sb="8" eb="9">
      <t>オヨ</t>
    </rPh>
    <rPh sb="10" eb="12">
      <t>ジギョウ</t>
    </rPh>
    <rPh sb="12" eb="14">
      <t>カツドウ</t>
    </rPh>
    <rPh sb="14" eb="16">
      <t>シュウシ</t>
    </rPh>
    <rPh sb="17" eb="18">
      <t>ク</t>
    </rPh>
    <rPh sb="19" eb="20">
      <t>カ</t>
    </rPh>
    <rPh sb="22" eb="24">
      <t>ヒツヨウ</t>
    </rPh>
    <rPh sb="25" eb="27">
      <t>コウモク</t>
    </rPh>
    <rPh sb="27" eb="29">
      <t>イガイ</t>
    </rPh>
    <rPh sb="31" eb="33">
      <t>ゲンソク</t>
    </rPh>
    <rPh sb="33" eb="35">
      <t>ヨウシキ</t>
    </rPh>
    <rPh sb="38" eb="40">
      <t>ジドウ</t>
    </rPh>
    <rPh sb="40" eb="42">
      <t>ケイサン</t>
    </rPh>
    <phoneticPr fontId="2"/>
  </si>
  <si>
    <r>
      <t>【様式</t>
    </r>
    <r>
      <rPr>
        <sz val="11"/>
        <rFont val="ＭＳ Ｐゴシック"/>
        <family val="3"/>
        <charset val="128"/>
      </rPr>
      <t>9】事業活動収支計算書（学校別）</t>
    </r>
    <rPh sb="5" eb="7">
      <t>ジギョウ</t>
    </rPh>
    <rPh sb="7" eb="9">
      <t>カツドウ</t>
    </rPh>
    <phoneticPr fontId="2"/>
  </si>
  <si>
    <r>
      <t>この表は</t>
    </r>
    <r>
      <rPr>
        <sz val="11"/>
        <rFont val="ＭＳ Ｐゴシック"/>
        <family val="3"/>
        <charset val="128"/>
      </rPr>
      <t>一部項目及び事業活動収支に組み替えが必要な項目以外は、原則様式5より自動計算されます。</t>
    </r>
    <rPh sb="4" eb="6">
      <t>イチブ</t>
    </rPh>
    <rPh sb="6" eb="8">
      <t>コウモク</t>
    </rPh>
    <rPh sb="8" eb="9">
      <t>オヨ</t>
    </rPh>
    <rPh sb="10" eb="12">
      <t>ジギョウ</t>
    </rPh>
    <rPh sb="12" eb="14">
      <t>カツドウ</t>
    </rPh>
    <rPh sb="14" eb="16">
      <t>シュウシ</t>
    </rPh>
    <rPh sb="17" eb="18">
      <t>ク</t>
    </rPh>
    <rPh sb="19" eb="20">
      <t>カ</t>
    </rPh>
    <rPh sb="22" eb="24">
      <t>ヒツヨウ</t>
    </rPh>
    <rPh sb="25" eb="27">
      <t>コウモク</t>
    </rPh>
    <rPh sb="27" eb="29">
      <t>イガイ</t>
    </rPh>
    <rPh sb="31" eb="33">
      <t>ゲンソク</t>
    </rPh>
    <rPh sb="33" eb="35">
      <t>ヨウシキ</t>
    </rPh>
    <rPh sb="38" eb="40">
      <t>ジドウ</t>
    </rPh>
    <rPh sb="40" eb="42">
      <t>ケイサン</t>
    </rPh>
    <phoneticPr fontId="2"/>
  </si>
  <si>
    <t>「活動区分資金収支計算書」は「資金収支計算書(法人全体）」から原則、自動的に組みかえられますが、活動区分資金収支計算書固有の部分については入力してください。</t>
    <rPh sb="1" eb="3">
      <t>カツドウ</t>
    </rPh>
    <rPh sb="3" eb="5">
      <t>クブン</t>
    </rPh>
    <rPh sb="5" eb="7">
      <t>シキン</t>
    </rPh>
    <rPh sb="7" eb="9">
      <t>シュウシ</t>
    </rPh>
    <rPh sb="9" eb="12">
      <t>ケイサンショ</t>
    </rPh>
    <rPh sb="15" eb="17">
      <t>シキン</t>
    </rPh>
    <rPh sb="17" eb="19">
      <t>シュウシ</t>
    </rPh>
    <rPh sb="19" eb="21">
      <t>ケイサン</t>
    </rPh>
    <rPh sb="21" eb="22">
      <t>ショ</t>
    </rPh>
    <rPh sb="23" eb="25">
      <t>ホウジン</t>
    </rPh>
    <rPh sb="25" eb="27">
      <t>ゼンタイ</t>
    </rPh>
    <rPh sb="31" eb="33">
      <t>ゲンソク</t>
    </rPh>
    <rPh sb="34" eb="37">
      <t>ジドウテキ</t>
    </rPh>
    <rPh sb="38" eb="39">
      <t>ク</t>
    </rPh>
    <rPh sb="48" eb="50">
      <t>カツドウ</t>
    </rPh>
    <rPh sb="50" eb="52">
      <t>クブン</t>
    </rPh>
    <rPh sb="52" eb="54">
      <t>シキン</t>
    </rPh>
    <rPh sb="54" eb="56">
      <t>シュウシ</t>
    </rPh>
    <rPh sb="56" eb="59">
      <t>ケイサンショ</t>
    </rPh>
    <rPh sb="59" eb="61">
      <t>コユウ</t>
    </rPh>
    <rPh sb="62" eb="64">
      <t>ブブン</t>
    </rPh>
    <rPh sb="69" eb="71">
      <t>ニュウリョク</t>
    </rPh>
    <phoneticPr fontId="2"/>
  </si>
  <si>
    <t>「事業活動収支計算書」の見込記入年度分の値については理論的に「資金収支計算書」と同額にならない事業活動収支固有の部分のみ入力してください。</t>
    <rPh sb="1" eb="3">
      <t>ジギョウ</t>
    </rPh>
    <rPh sb="3" eb="5">
      <t>カツドウ</t>
    </rPh>
    <rPh sb="5" eb="7">
      <t>シュウシ</t>
    </rPh>
    <rPh sb="7" eb="10">
      <t>ケイサンショ</t>
    </rPh>
    <rPh sb="12" eb="14">
      <t>ミコ</t>
    </rPh>
    <rPh sb="14" eb="16">
      <t>キニュウ</t>
    </rPh>
    <rPh sb="16" eb="18">
      <t>ネンド</t>
    </rPh>
    <rPh sb="18" eb="19">
      <t>ブン</t>
    </rPh>
    <rPh sb="20" eb="21">
      <t>アタイ</t>
    </rPh>
    <rPh sb="26" eb="29">
      <t>リロンテキ</t>
    </rPh>
    <rPh sb="31" eb="33">
      <t>シキン</t>
    </rPh>
    <rPh sb="33" eb="35">
      <t>シュウシ</t>
    </rPh>
    <rPh sb="35" eb="37">
      <t>ケイサン</t>
    </rPh>
    <rPh sb="37" eb="38">
      <t>ショ</t>
    </rPh>
    <rPh sb="40" eb="42">
      <t>ドウガク</t>
    </rPh>
    <rPh sb="47" eb="49">
      <t>ジギョウ</t>
    </rPh>
    <rPh sb="49" eb="51">
      <t>カツドウ</t>
    </rPh>
    <rPh sb="51" eb="53">
      <t>シュウシ</t>
    </rPh>
    <rPh sb="53" eb="55">
      <t>コユウ</t>
    </rPh>
    <rPh sb="56" eb="58">
      <t>ブブン</t>
    </rPh>
    <rPh sb="60" eb="62">
      <t>ニュウリョク</t>
    </rPh>
    <phoneticPr fontId="2"/>
  </si>
  <si>
    <t>「資金収支→活動区分資金収支組替項目」にある項目は、当該欄に入力すると、上の表に反映されます。</t>
    <rPh sb="22" eb="24">
      <t>コウモク</t>
    </rPh>
    <rPh sb="26" eb="28">
      <t>トウガイ</t>
    </rPh>
    <rPh sb="28" eb="29">
      <t>ラン</t>
    </rPh>
    <rPh sb="36" eb="37">
      <t>ウエ</t>
    </rPh>
    <rPh sb="38" eb="39">
      <t>ヒョウ</t>
    </rPh>
    <rPh sb="40" eb="42">
      <t>ハンエイ</t>
    </rPh>
    <phoneticPr fontId="2"/>
  </si>
  <si>
    <t>「資金収支→事業活動収支組替項目」にある項目は、当該欄に入力すると、上の表に反映されます。</t>
    <rPh sb="6" eb="8">
      <t>ジギョウ</t>
    </rPh>
    <rPh sb="8" eb="10">
      <t>カツドウ</t>
    </rPh>
    <phoneticPr fontId="2"/>
  </si>
  <si>
    <r>
      <t>「資金収支→事業活動収支組替項目」にある項目は、当該欄に入力</t>
    </r>
    <r>
      <rPr>
        <sz val="11"/>
        <rFont val="ＭＳ Ｐゴシック"/>
        <family val="3"/>
        <charset val="128"/>
      </rPr>
      <t>すると、上の表に反映されます。</t>
    </r>
    <phoneticPr fontId="2"/>
  </si>
  <si>
    <t xml:space="preserve">    収入の部合計（Ａ）</t>
    <rPh sb="4" eb="6">
      <t>シュウニュウ</t>
    </rPh>
    <rPh sb="7" eb="8">
      <t>ブ</t>
    </rPh>
    <rPh sb="8" eb="10">
      <t>ゴウケイ</t>
    </rPh>
    <phoneticPr fontId="2"/>
  </si>
  <si>
    <t xml:space="preserve">    支出の部合計（Ｂ）</t>
    <rPh sb="4" eb="6">
      <t>シシュツ</t>
    </rPh>
    <rPh sb="7" eb="8">
      <t>ブ</t>
    </rPh>
    <rPh sb="8" eb="10">
      <t>ゴウケイ</t>
    </rPh>
    <phoneticPr fontId="2"/>
  </si>
  <si>
    <t>経常費等補助金</t>
    <rPh sb="0" eb="3">
      <t>ケイジョウヒ</t>
    </rPh>
    <rPh sb="3" eb="4">
      <t>トウ</t>
    </rPh>
    <rPh sb="4" eb="7">
      <t>ホジョキン</t>
    </rPh>
    <phoneticPr fontId="1"/>
  </si>
  <si>
    <t xml:space="preserve"> 現物寄付（金）</t>
    <rPh sb="1" eb="3">
      <t>ゲンブツ</t>
    </rPh>
    <rPh sb="3" eb="5">
      <t>キフ</t>
    </rPh>
    <rPh sb="6" eb="7">
      <t>キン</t>
    </rPh>
    <phoneticPr fontId="2"/>
  </si>
  <si>
    <t>●事業活動収支計算書（学校別）</t>
    <rPh sb="1" eb="3">
      <t>ジギョウ</t>
    </rPh>
    <rPh sb="3" eb="5">
      <t>カツドウ</t>
    </rPh>
    <rPh sb="11" eb="13">
      <t>ガッコウ</t>
    </rPh>
    <rPh sb="13" eb="14">
      <t>ベツ</t>
    </rPh>
    <phoneticPr fontId="2"/>
  </si>
  <si>
    <t>　</t>
    <phoneticPr fontId="2"/>
  </si>
  <si>
    <t>翌（次）年度繰越支払資金</t>
    <rPh sb="0" eb="1">
      <t>ヨク</t>
    </rPh>
    <rPh sb="4" eb="6">
      <t>ネンド</t>
    </rPh>
    <rPh sb="6" eb="8">
      <t>クリコ</t>
    </rPh>
    <rPh sb="8" eb="10">
      <t>シハライ</t>
    </rPh>
    <rPh sb="10" eb="12">
      <t>シキン</t>
    </rPh>
    <phoneticPr fontId="2"/>
  </si>
  <si>
    <t>人数は５月１日時点のものを御記入ください。</t>
    <rPh sb="0" eb="2">
      <t>ニンズウ</t>
    </rPh>
    <rPh sb="4" eb="5">
      <t>ガツ</t>
    </rPh>
    <rPh sb="6" eb="7">
      <t>ニチ</t>
    </rPh>
    <rPh sb="7" eb="9">
      <t>ジテン</t>
    </rPh>
    <rPh sb="13" eb="14">
      <t>ゴ</t>
    </rPh>
    <rPh sb="14" eb="16">
      <t>キニュウ</t>
    </rPh>
    <phoneticPr fontId="2"/>
  </si>
  <si>
    <r>
      <t>（2）</t>
    </r>
    <r>
      <rPr>
        <sz val="11"/>
        <rFont val="ＭＳ Ｐゴシック"/>
        <family val="3"/>
        <charset val="128"/>
      </rPr>
      <t>学生募集対策と学生数・学納金等計画</t>
    </r>
    <rPh sb="3" eb="5">
      <t>ガクセイ</t>
    </rPh>
    <rPh sb="5" eb="7">
      <t>ボシュウ</t>
    </rPh>
    <rPh sb="7" eb="9">
      <t>タイサク</t>
    </rPh>
    <rPh sb="10" eb="12">
      <t>ガクセイ</t>
    </rPh>
    <rPh sb="12" eb="13">
      <t>スウ</t>
    </rPh>
    <rPh sb="14" eb="17">
      <t>ガクノウキン</t>
    </rPh>
    <rPh sb="17" eb="18">
      <t>トウ</t>
    </rPh>
    <rPh sb="18" eb="20">
      <t>ケイカク</t>
    </rPh>
    <phoneticPr fontId="2"/>
  </si>
  <si>
    <r>
      <rPr>
        <sz val="11"/>
        <rFont val="ＭＳ Ｐゴシック"/>
        <family val="3"/>
        <charset val="128"/>
      </rPr>
      <t>（7）借入金等の返済計画</t>
    </r>
    <rPh sb="3" eb="7">
      <t>カリイレキンナド</t>
    </rPh>
    <rPh sb="8" eb="10">
      <t>ヘンサイ</t>
    </rPh>
    <rPh sb="10" eb="12">
      <t>ケイカク</t>
    </rPh>
    <phoneticPr fontId="2"/>
  </si>
  <si>
    <r>
      <rPr>
        <sz val="11"/>
        <rFont val="ＭＳ Ｐゴシック"/>
        <family val="3"/>
        <charset val="128"/>
      </rPr>
      <t>（3）外部資金の獲得・寄付の充実・遊休資産処分等計画</t>
    </r>
    <rPh sb="3" eb="5">
      <t>ガイブ</t>
    </rPh>
    <rPh sb="5" eb="7">
      <t>シキン</t>
    </rPh>
    <rPh sb="8" eb="10">
      <t>カクトク</t>
    </rPh>
    <rPh sb="11" eb="13">
      <t>キフ</t>
    </rPh>
    <rPh sb="14" eb="16">
      <t>ジュウジツ</t>
    </rPh>
    <rPh sb="17" eb="19">
      <t>ユウキュウ</t>
    </rPh>
    <rPh sb="19" eb="21">
      <t>シサン</t>
    </rPh>
    <rPh sb="21" eb="23">
      <t>ショブン</t>
    </rPh>
    <rPh sb="23" eb="24">
      <t>ナド</t>
    </rPh>
    <rPh sb="24" eb="26">
      <t>ケイカク</t>
    </rPh>
    <phoneticPr fontId="2"/>
  </si>
  <si>
    <r>
      <rPr>
        <sz val="11"/>
        <rFont val="ＭＳ Ｐゴシック"/>
        <family val="3"/>
        <charset val="128"/>
      </rPr>
      <t>（6）施設等整備計画</t>
    </r>
    <rPh sb="3" eb="5">
      <t>シセツ</t>
    </rPh>
    <rPh sb="5" eb="6">
      <t>トウ</t>
    </rPh>
    <rPh sb="6" eb="8">
      <t>セイビ</t>
    </rPh>
    <rPh sb="8" eb="10">
      <t>ケイカク</t>
    </rPh>
    <phoneticPr fontId="2"/>
  </si>
  <si>
    <t>「教育活動による資金収支」のうち「その他上記以外の収入（教育活動）」及び「調整勘定等」、「施設整備等活動による資金収支」のうち「その他上記以外の収入（施設整備活動）」、「その他上記以外の支出（施設整備活動）」及び「調整勘定等」、「その他の活動による資金収支」のうち「その他上記以外の収入（その他活動）」、「その他上記以外の支出（その他活動）」及び「調整勘定等」は入力してください。</t>
    <rPh sb="1" eb="3">
      <t>キョウイク</t>
    </rPh>
    <rPh sb="3" eb="5">
      <t>カツドウ</t>
    </rPh>
    <rPh sb="8" eb="10">
      <t>シキン</t>
    </rPh>
    <rPh sb="10" eb="12">
      <t>シュウシ</t>
    </rPh>
    <rPh sb="19" eb="20">
      <t>タ</t>
    </rPh>
    <rPh sb="20" eb="22">
      <t>ジョウキ</t>
    </rPh>
    <rPh sb="22" eb="24">
      <t>イガイ</t>
    </rPh>
    <rPh sb="25" eb="27">
      <t>シュウニュウ</t>
    </rPh>
    <rPh sb="28" eb="30">
      <t>キョウイク</t>
    </rPh>
    <rPh sb="30" eb="32">
      <t>カツドウ</t>
    </rPh>
    <rPh sb="34" eb="35">
      <t>オヨ</t>
    </rPh>
    <rPh sb="37" eb="39">
      <t>チョウセイ</t>
    </rPh>
    <rPh sb="39" eb="41">
      <t>カンジョウ</t>
    </rPh>
    <rPh sb="41" eb="42">
      <t>トウ</t>
    </rPh>
    <rPh sb="45" eb="47">
      <t>シセツ</t>
    </rPh>
    <rPh sb="47" eb="49">
      <t>セイビ</t>
    </rPh>
    <rPh sb="49" eb="50">
      <t>トウ</t>
    </rPh>
    <rPh sb="50" eb="52">
      <t>カツドウ</t>
    </rPh>
    <rPh sb="55" eb="57">
      <t>シキン</t>
    </rPh>
    <rPh sb="57" eb="59">
      <t>シュウシ</t>
    </rPh>
    <rPh sb="75" eb="77">
      <t>シセツ</t>
    </rPh>
    <rPh sb="77" eb="79">
      <t>セイビ</t>
    </rPh>
    <rPh sb="87" eb="88">
      <t>タ</t>
    </rPh>
    <rPh sb="88" eb="90">
      <t>ジョウキ</t>
    </rPh>
    <rPh sb="90" eb="92">
      <t>イガイ</t>
    </rPh>
    <rPh sb="93" eb="95">
      <t>シシュツ</t>
    </rPh>
    <rPh sb="117" eb="118">
      <t>タ</t>
    </rPh>
    <rPh sb="119" eb="121">
      <t>カツドウ</t>
    </rPh>
    <rPh sb="124" eb="126">
      <t>シキン</t>
    </rPh>
    <rPh sb="126" eb="128">
      <t>シュウシ</t>
    </rPh>
    <rPh sb="146" eb="147">
      <t>タ</t>
    </rPh>
    <rPh sb="161" eb="163">
      <t>シシュツ</t>
    </rPh>
    <rPh sb="181" eb="183">
      <t>ニュウリョク</t>
    </rPh>
    <phoneticPr fontId="2"/>
  </si>
  <si>
    <t>「事業活動収支」のうち「寄付金」、「経常費等補助金」、「付随事業収入」、「雑収入」及び「管理経費」、「教育活動外収支」のうち「その他の教育活動外収入」及び「その他の教育活動外支出」、「特別収支」のうち「その他の特別収入」及び「その他の特別支出」は入力してください。</t>
    <rPh sb="1" eb="3">
      <t>ジギョウ</t>
    </rPh>
    <rPh sb="3" eb="5">
      <t>カツドウ</t>
    </rPh>
    <rPh sb="5" eb="7">
      <t>シュウシ</t>
    </rPh>
    <rPh sb="12" eb="15">
      <t>キフキン</t>
    </rPh>
    <rPh sb="18" eb="21">
      <t>ケイジョウヒ</t>
    </rPh>
    <rPh sb="21" eb="22">
      <t>トウ</t>
    </rPh>
    <rPh sb="22" eb="25">
      <t>ホジョキン</t>
    </rPh>
    <rPh sb="28" eb="30">
      <t>フズイ</t>
    </rPh>
    <rPh sb="30" eb="32">
      <t>ジギョウ</t>
    </rPh>
    <rPh sb="32" eb="34">
      <t>シュウニュウ</t>
    </rPh>
    <rPh sb="37" eb="38">
      <t>ザツ</t>
    </rPh>
    <rPh sb="38" eb="40">
      <t>シュウニュウ</t>
    </rPh>
    <rPh sb="41" eb="42">
      <t>オヨ</t>
    </rPh>
    <rPh sb="44" eb="46">
      <t>カンリ</t>
    </rPh>
    <rPh sb="46" eb="48">
      <t>ケイヒ</t>
    </rPh>
    <rPh sb="51" eb="53">
      <t>キョウイク</t>
    </rPh>
    <rPh sb="53" eb="55">
      <t>カツドウ</t>
    </rPh>
    <rPh sb="55" eb="56">
      <t>ガイ</t>
    </rPh>
    <rPh sb="56" eb="58">
      <t>シュウシ</t>
    </rPh>
    <rPh sb="65" eb="66">
      <t>タ</t>
    </rPh>
    <rPh sb="67" eb="69">
      <t>キョウイク</t>
    </rPh>
    <rPh sb="69" eb="71">
      <t>カツドウ</t>
    </rPh>
    <rPh sb="71" eb="72">
      <t>ガイ</t>
    </rPh>
    <rPh sb="72" eb="74">
      <t>シュウニュウ</t>
    </rPh>
    <rPh sb="75" eb="76">
      <t>オヨ</t>
    </rPh>
    <rPh sb="80" eb="81">
      <t>タ</t>
    </rPh>
    <rPh sb="82" eb="84">
      <t>キョウイク</t>
    </rPh>
    <rPh sb="84" eb="86">
      <t>カツドウ</t>
    </rPh>
    <rPh sb="86" eb="87">
      <t>ガイ</t>
    </rPh>
    <rPh sb="87" eb="89">
      <t>シシュツ</t>
    </rPh>
    <rPh sb="92" eb="94">
      <t>トクベツ</t>
    </rPh>
    <rPh sb="94" eb="96">
      <t>シュウシ</t>
    </rPh>
    <rPh sb="103" eb="104">
      <t>タ</t>
    </rPh>
    <rPh sb="105" eb="107">
      <t>トクベツ</t>
    </rPh>
    <rPh sb="107" eb="109">
      <t>シュウニュウ</t>
    </rPh>
    <rPh sb="110" eb="111">
      <t>オヨ</t>
    </rPh>
    <rPh sb="115" eb="116">
      <t>タ</t>
    </rPh>
    <rPh sb="117" eb="119">
      <t>トクベツ</t>
    </rPh>
    <rPh sb="119" eb="121">
      <t>シシュツ</t>
    </rPh>
    <rPh sb="123" eb="125">
      <t>ニュウリョク</t>
    </rPh>
    <phoneticPr fontId="2"/>
  </si>
  <si>
    <r>
      <t>借入金</t>
    </r>
    <r>
      <rPr>
        <sz val="11"/>
        <rFont val="ＭＳ Ｐゴシック"/>
        <family val="3"/>
        <charset val="128"/>
      </rPr>
      <t>収入</t>
    </r>
    <phoneticPr fontId="2"/>
  </si>
  <si>
    <t>長期借入金収入</t>
    <phoneticPr fontId="2"/>
  </si>
  <si>
    <t>短期借入金収入</t>
    <phoneticPr fontId="2"/>
  </si>
  <si>
    <t>（4）人事政策と人件費の抑制計画</t>
    <rPh sb="3" eb="5">
      <t>ジンジ</t>
    </rPh>
    <rPh sb="5" eb="7">
      <t>セイサク</t>
    </rPh>
    <rPh sb="8" eb="11">
      <t>ジンケンヒ</t>
    </rPh>
    <rPh sb="14" eb="16">
      <t>ケイカク</t>
    </rPh>
    <phoneticPr fontId="2"/>
  </si>
  <si>
    <t>（5）経費抑制計画（人件費を除く）</t>
    <rPh sb="3" eb="5">
      <t>ケイヒ</t>
    </rPh>
    <rPh sb="7" eb="9">
      <t>ケイカク</t>
    </rPh>
    <rPh sb="10" eb="13">
      <t>ジンケンヒ</t>
    </rPh>
    <rPh sb="14" eb="15">
      <t>ノゾ</t>
    </rPh>
    <phoneticPr fontId="2"/>
  </si>
  <si>
    <t>2年度</t>
  </si>
  <si>
    <t>3年度</t>
  </si>
  <si>
    <t>4年度</t>
  </si>
  <si>
    <t>5年度</t>
  </si>
  <si>
    <t>6年度</t>
  </si>
  <si>
    <t>7年度</t>
  </si>
  <si>
    <t>8年度</t>
  </si>
  <si>
    <t>9年度</t>
  </si>
  <si>
    <t>10年度</t>
  </si>
  <si>
    <t>11年度</t>
  </si>
  <si>
    <t>12年度</t>
  </si>
  <si>
    <t>13年度</t>
  </si>
  <si>
    <t>14年度</t>
  </si>
  <si>
    <t>15年度</t>
  </si>
  <si>
    <t>16年度</t>
  </si>
  <si>
    <t>17年度</t>
  </si>
  <si>
    <t>18年度</t>
  </si>
  <si>
    <t>19年度</t>
  </si>
  <si>
    <t>20年度</t>
  </si>
  <si>
    <t>21年度</t>
  </si>
  <si>
    <t>22年度</t>
  </si>
  <si>
    <t>23年度</t>
  </si>
  <si>
    <t>24年度</t>
  </si>
  <si>
    <t>元号</t>
    <rPh sb="0" eb="2">
      <t>ゲンゴウ</t>
    </rPh>
    <phoneticPr fontId="2"/>
  </si>
  <si>
    <t>年度</t>
    <rPh sb="0" eb="2">
      <t>ネンド</t>
    </rPh>
    <phoneticPr fontId="2"/>
  </si>
  <si>
    <t>人数</t>
    <rPh sb="0" eb="2">
      <t>ニンズウ</t>
    </rPh>
    <phoneticPr fontId="2"/>
  </si>
  <si>
    <t>財務</t>
    <rPh sb="0" eb="2">
      <t>ザイム</t>
    </rPh>
    <phoneticPr fontId="2"/>
  </si>
  <si>
    <t>平成</t>
    <rPh sb="0" eb="2">
      <t>ヘイセイ</t>
    </rPh>
    <phoneticPr fontId="2"/>
  </si>
  <si>
    <t>25年度実績</t>
    <rPh sb="2" eb="4">
      <t>ネンド</t>
    </rPh>
    <rPh sb="4" eb="6">
      <t>ジッセキ</t>
    </rPh>
    <phoneticPr fontId="2"/>
  </si>
  <si>
    <t>25年度決算</t>
    <rPh sb="2" eb="4">
      <t>ネンド</t>
    </rPh>
    <rPh sb="4" eb="6">
      <t>ケッサン</t>
    </rPh>
    <phoneticPr fontId="2"/>
  </si>
  <si>
    <t>26年度実績</t>
    <rPh sb="2" eb="4">
      <t>ネンド</t>
    </rPh>
    <rPh sb="4" eb="6">
      <t>ジッセキ</t>
    </rPh>
    <phoneticPr fontId="2"/>
  </si>
  <si>
    <t>26年度決算</t>
    <rPh sb="2" eb="4">
      <t>ネンド</t>
    </rPh>
    <rPh sb="4" eb="6">
      <t>ケッサン</t>
    </rPh>
    <phoneticPr fontId="2"/>
  </si>
  <si>
    <t>27年度実績</t>
    <rPh sb="2" eb="4">
      <t>ネンド</t>
    </rPh>
    <rPh sb="4" eb="6">
      <t>ジッセキ</t>
    </rPh>
    <phoneticPr fontId="2"/>
  </si>
  <si>
    <t>27年度決算</t>
    <rPh sb="2" eb="4">
      <t>ネンド</t>
    </rPh>
    <rPh sb="4" eb="6">
      <t>ケッサン</t>
    </rPh>
    <phoneticPr fontId="2"/>
  </si>
  <si>
    <t>28年度実績</t>
    <rPh sb="2" eb="4">
      <t>ネンド</t>
    </rPh>
    <rPh sb="4" eb="6">
      <t>ジッセキ</t>
    </rPh>
    <phoneticPr fontId="2"/>
  </si>
  <si>
    <t>28年度決算</t>
    <rPh sb="2" eb="4">
      <t>ネンド</t>
    </rPh>
    <rPh sb="4" eb="6">
      <t>ケッサン</t>
    </rPh>
    <phoneticPr fontId="2"/>
  </si>
  <si>
    <t>29年度実績</t>
    <rPh sb="2" eb="4">
      <t>ネンド</t>
    </rPh>
    <rPh sb="4" eb="6">
      <t>ジッセキ</t>
    </rPh>
    <phoneticPr fontId="2"/>
  </si>
  <si>
    <t>29年度決算</t>
    <rPh sb="2" eb="4">
      <t>ネンド</t>
    </rPh>
    <rPh sb="4" eb="6">
      <t>ケッサン</t>
    </rPh>
    <phoneticPr fontId="2"/>
  </si>
  <si>
    <t>30年度実績</t>
    <rPh sb="2" eb="4">
      <t>ネンド</t>
    </rPh>
    <rPh sb="4" eb="6">
      <t>ジッセキ</t>
    </rPh>
    <phoneticPr fontId="2"/>
  </si>
  <si>
    <t>30年度決算</t>
    <rPh sb="2" eb="4">
      <t>ネンド</t>
    </rPh>
    <rPh sb="4" eb="6">
      <t>ケッサン</t>
    </rPh>
    <phoneticPr fontId="2"/>
  </si>
  <si>
    <t>元年度実績</t>
    <rPh sb="0" eb="2">
      <t>ガンネン</t>
    </rPh>
    <rPh sb="2" eb="3">
      <t>ド</t>
    </rPh>
    <rPh sb="3" eb="5">
      <t>ジッセキ</t>
    </rPh>
    <phoneticPr fontId="2"/>
  </si>
  <si>
    <t>令和5年度</t>
    <rPh sb="3" eb="5">
      <t>ネンド</t>
    </rPh>
    <phoneticPr fontId="2"/>
  </si>
  <si>
    <t>令和元年度</t>
    <rPh sb="2" eb="4">
      <t>ガンネン</t>
    </rPh>
    <rPh sb="4" eb="5">
      <t>ド</t>
    </rPh>
    <phoneticPr fontId="2"/>
  </si>
  <si>
    <t>令和元</t>
    <phoneticPr fontId="2"/>
  </si>
  <si>
    <t>令和2年度</t>
    <rPh sb="3" eb="5">
      <t>ネンド</t>
    </rPh>
    <phoneticPr fontId="2"/>
  </si>
  <si>
    <t>令和2</t>
    <phoneticPr fontId="2"/>
  </si>
  <si>
    <t>令和3年度</t>
    <rPh sb="3" eb="5">
      <t>ネンド</t>
    </rPh>
    <phoneticPr fontId="2"/>
  </si>
  <si>
    <t>令和3</t>
    <phoneticPr fontId="2"/>
  </si>
  <si>
    <t>令和4年度</t>
    <rPh sb="3" eb="5">
      <t>ネンド</t>
    </rPh>
    <phoneticPr fontId="2"/>
  </si>
  <si>
    <t>令和4</t>
    <phoneticPr fontId="2"/>
  </si>
  <si>
    <t>令和5</t>
    <phoneticPr fontId="2"/>
  </si>
  <si>
    <t>令和6年度</t>
    <rPh sb="3" eb="5">
      <t>ネンド</t>
    </rPh>
    <phoneticPr fontId="2"/>
  </si>
  <si>
    <t>令和6</t>
    <phoneticPr fontId="2"/>
  </si>
  <si>
    <t>令和7年度</t>
    <rPh sb="3" eb="5">
      <t>ネンド</t>
    </rPh>
    <phoneticPr fontId="2"/>
  </si>
  <si>
    <t>令和7</t>
    <phoneticPr fontId="2"/>
  </si>
  <si>
    <t>令和8年度</t>
    <rPh sb="3" eb="5">
      <t>ネンド</t>
    </rPh>
    <phoneticPr fontId="2"/>
  </si>
  <si>
    <t>令和8</t>
    <phoneticPr fontId="2"/>
  </si>
  <si>
    <t>令和9年度</t>
    <rPh sb="3" eb="5">
      <t>ネンド</t>
    </rPh>
    <phoneticPr fontId="2"/>
  </si>
  <si>
    <t>令和9</t>
    <phoneticPr fontId="2"/>
  </si>
  <si>
    <t>令和10年度</t>
    <rPh sb="4" eb="6">
      <t>ネンド</t>
    </rPh>
    <phoneticPr fontId="2"/>
  </si>
  <si>
    <t>令和10</t>
    <phoneticPr fontId="2"/>
  </si>
  <si>
    <t>令和11年度</t>
    <rPh sb="4" eb="6">
      <t>ネンド</t>
    </rPh>
    <phoneticPr fontId="2"/>
  </si>
  <si>
    <t>令和11</t>
    <phoneticPr fontId="2"/>
  </si>
  <si>
    <t>令和12年度</t>
    <rPh sb="4" eb="6">
      <t>ネンド</t>
    </rPh>
    <phoneticPr fontId="2"/>
  </si>
  <si>
    <t>令和12</t>
    <phoneticPr fontId="2"/>
  </si>
  <si>
    <t>令和13年度</t>
    <rPh sb="4" eb="6">
      <t>ネンド</t>
    </rPh>
    <phoneticPr fontId="2"/>
  </si>
  <si>
    <t>令和13</t>
    <phoneticPr fontId="2"/>
  </si>
  <si>
    <t>令和14年度</t>
    <rPh sb="4" eb="6">
      <t>ネンド</t>
    </rPh>
    <phoneticPr fontId="2"/>
  </si>
  <si>
    <t>令和14</t>
    <phoneticPr fontId="2"/>
  </si>
  <si>
    <t>令和15年度</t>
    <rPh sb="4" eb="6">
      <t>ネンド</t>
    </rPh>
    <phoneticPr fontId="2"/>
  </si>
  <si>
    <t>令和15</t>
    <phoneticPr fontId="2"/>
  </si>
  <si>
    <t>令和16年度</t>
    <rPh sb="4" eb="6">
      <t>ネンド</t>
    </rPh>
    <phoneticPr fontId="2"/>
  </si>
  <si>
    <t>令和16</t>
    <phoneticPr fontId="2"/>
  </si>
  <si>
    <t>令和17年度</t>
    <rPh sb="4" eb="6">
      <t>ネンド</t>
    </rPh>
    <phoneticPr fontId="2"/>
  </si>
  <si>
    <t>令和17</t>
    <phoneticPr fontId="2"/>
  </si>
  <si>
    <t>令和18年度</t>
    <rPh sb="4" eb="6">
      <t>ネンド</t>
    </rPh>
    <phoneticPr fontId="2"/>
  </si>
  <si>
    <t>令和18</t>
    <phoneticPr fontId="2"/>
  </si>
  <si>
    <t>令和19年度</t>
    <rPh sb="4" eb="6">
      <t>ネンド</t>
    </rPh>
    <phoneticPr fontId="2"/>
  </si>
  <si>
    <t>令和19</t>
    <phoneticPr fontId="2"/>
  </si>
  <si>
    <t>令和20年度</t>
    <rPh sb="4" eb="6">
      <t>ネンド</t>
    </rPh>
    <phoneticPr fontId="2"/>
  </si>
  <si>
    <t>令和20</t>
    <phoneticPr fontId="2"/>
  </si>
  <si>
    <t>令和21年度</t>
    <rPh sb="4" eb="6">
      <t>ネンド</t>
    </rPh>
    <phoneticPr fontId="2"/>
  </si>
  <si>
    <t>令和21</t>
    <phoneticPr fontId="2"/>
  </si>
  <si>
    <t>令和22年度</t>
    <rPh sb="4" eb="6">
      <t>ネンド</t>
    </rPh>
    <phoneticPr fontId="2"/>
  </si>
  <si>
    <t>令和22</t>
    <phoneticPr fontId="2"/>
  </si>
  <si>
    <t>令和23年度</t>
    <rPh sb="4" eb="6">
      <t>ネンド</t>
    </rPh>
    <phoneticPr fontId="2"/>
  </si>
  <si>
    <t>令和23</t>
    <phoneticPr fontId="2"/>
  </si>
  <si>
    <t>令和24年度</t>
    <rPh sb="4" eb="6">
      <t>ネンド</t>
    </rPh>
    <phoneticPr fontId="2"/>
  </si>
  <si>
    <t>平成or令和</t>
    <rPh sb="0" eb="2">
      <t>ヘイセイ</t>
    </rPh>
    <phoneticPr fontId="2"/>
  </si>
  <si>
    <t>令和</t>
    <phoneticPr fontId="2"/>
  </si>
  <si>
    <t>令和</t>
    <phoneticPr fontId="2"/>
  </si>
  <si>
    <t xml:space="preserve"> c.　　〃　　（当年度退職・異動）</t>
    <rPh sb="9" eb="10">
      <t>トウ</t>
    </rPh>
    <rPh sb="10" eb="12">
      <t>ネンド</t>
    </rPh>
    <rPh sb="12" eb="14">
      <t>タイショク</t>
    </rPh>
    <rPh sb="15" eb="17">
      <t>イドウ</t>
    </rPh>
    <phoneticPr fontId="2"/>
  </si>
  <si>
    <t xml:space="preserve"> h.　　〃　　（当年度退職・異動）</t>
    <rPh sb="9" eb="10">
      <t>トウ</t>
    </rPh>
    <rPh sb="10" eb="12">
      <t>ネンド</t>
    </rPh>
    <rPh sb="12" eb="14">
      <t>タイショク</t>
    </rPh>
    <phoneticPr fontId="2"/>
  </si>
  <si>
    <t xml:space="preserve"> c.　　〃　　（当年度退職・異動）</t>
    <rPh sb="9" eb="10">
      <t>トウ</t>
    </rPh>
    <rPh sb="10" eb="12">
      <t>ネンド</t>
    </rPh>
    <rPh sb="12" eb="14">
      <t>タイショク</t>
    </rPh>
    <phoneticPr fontId="2"/>
  </si>
  <si>
    <t>返済１年以内短借に移行</t>
    <rPh sb="0" eb="2">
      <t>ヘンサイ</t>
    </rPh>
    <rPh sb="3" eb="4">
      <t>ネン</t>
    </rPh>
    <rPh sb="4" eb="6">
      <t>イナイ</t>
    </rPh>
    <rPh sb="6" eb="7">
      <t>タン</t>
    </rPh>
    <rPh sb="7" eb="8">
      <t>シャク</t>
    </rPh>
    <rPh sb="9" eb="11">
      <t>イコウ</t>
    </rPh>
    <phoneticPr fontId="2"/>
  </si>
  <si>
    <t>返済１年超長借から移行</t>
    <rPh sb="0" eb="2">
      <t>ヘンサイ</t>
    </rPh>
    <rPh sb="3" eb="4">
      <t>ネン</t>
    </rPh>
    <rPh sb="4" eb="5">
      <t>コ</t>
    </rPh>
    <rPh sb="5" eb="7">
      <t>チョウシャク</t>
    </rPh>
    <rPh sb="9" eb="11">
      <t>イコウ</t>
    </rPh>
    <phoneticPr fontId="2"/>
  </si>
  <si>
    <t>←令和元年度は「1」としてください</t>
    <rPh sb="1" eb="2">
      <t>レイ</t>
    </rPh>
    <rPh sb="2" eb="3">
      <t>ワ</t>
    </rPh>
    <rPh sb="3" eb="5">
      <t>ガンネン</t>
    </rPh>
    <rPh sb="5" eb="6">
      <t>ド</t>
    </rPh>
    <phoneticPr fontId="2"/>
  </si>
  <si>
    <r>
      <t xml:space="preserve">（様式10）
</t>
    </r>
    <r>
      <rPr>
        <sz val="14"/>
        <rFont val="ＭＳ Ｐゴシック"/>
        <family val="3"/>
        <charset val="128"/>
      </rPr>
      <t xml:space="preserve">
単位：千円</t>
    </r>
    <rPh sb="1" eb="3">
      <t>ヨウシキ</t>
    </rPh>
    <rPh sb="8" eb="10">
      <t>タンイ</t>
    </rPh>
    <rPh sb="11" eb="13">
      <t>センエン</t>
    </rPh>
    <phoneticPr fontId="2"/>
  </si>
  <si>
    <t>運用資産と外部負債の関係</t>
    <rPh sb="0" eb="2">
      <t>ウンヨウ</t>
    </rPh>
    <rPh sb="2" eb="4">
      <t>シサン</t>
    </rPh>
    <rPh sb="5" eb="7">
      <t>ガイブ</t>
    </rPh>
    <rPh sb="7" eb="9">
      <t>フサイ</t>
    </rPh>
    <rPh sb="10" eb="12">
      <t>カンケイ</t>
    </rPh>
    <phoneticPr fontId="1"/>
  </si>
  <si>
    <r>
      <t>A</t>
    </r>
    <r>
      <rPr>
        <sz val="14"/>
        <rFont val="ＭＳ Ｐゴシック"/>
        <family val="3"/>
        <charset val="128"/>
      </rPr>
      <t>　運用資産</t>
    </r>
    <rPh sb="2" eb="4">
      <t>ウンヨウ</t>
    </rPh>
    <rPh sb="4" eb="6">
      <t>シサン</t>
    </rPh>
    <phoneticPr fontId="1"/>
  </si>
  <si>
    <t>現金預金</t>
    <rPh sb="0" eb="2">
      <t>ゲンキン</t>
    </rPh>
    <rPh sb="2" eb="4">
      <t>ヨキン</t>
    </rPh>
    <phoneticPr fontId="1"/>
  </si>
  <si>
    <t>第２号基本金引当特定資産</t>
    <rPh sb="0" eb="1">
      <t>ダイ</t>
    </rPh>
    <rPh sb="2" eb="3">
      <t>ゴウ</t>
    </rPh>
    <rPh sb="3" eb="5">
      <t>キホン</t>
    </rPh>
    <rPh sb="5" eb="6">
      <t>キン</t>
    </rPh>
    <rPh sb="6" eb="8">
      <t>ヒキアテ</t>
    </rPh>
    <rPh sb="8" eb="10">
      <t>トクテイ</t>
    </rPh>
    <rPh sb="10" eb="12">
      <t>シサン</t>
    </rPh>
    <phoneticPr fontId="1"/>
  </si>
  <si>
    <t>第３号基本金引当特定資産</t>
    <rPh sb="0" eb="1">
      <t>ダイ</t>
    </rPh>
    <rPh sb="2" eb="3">
      <t>ゴウ</t>
    </rPh>
    <rPh sb="3" eb="5">
      <t>キホン</t>
    </rPh>
    <rPh sb="5" eb="6">
      <t>キン</t>
    </rPh>
    <rPh sb="6" eb="8">
      <t>ヒキアテ</t>
    </rPh>
    <rPh sb="8" eb="10">
      <t>トクテイ</t>
    </rPh>
    <rPh sb="10" eb="12">
      <t>シサン</t>
    </rPh>
    <phoneticPr fontId="1"/>
  </si>
  <si>
    <t>運用資産計</t>
    <rPh sb="0" eb="2">
      <t>ウンヨウ</t>
    </rPh>
    <rPh sb="2" eb="4">
      <t>シサン</t>
    </rPh>
    <rPh sb="4" eb="5">
      <t>ケイ</t>
    </rPh>
    <phoneticPr fontId="1"/>
  </si>
  <si>
    <r>
      <t>B</t>
    </r>
    <r>
      <rPr>
        <sz val="14"/>
        <rFont val="ＭＳ Ｐゴシック"/>
        <family val="3"/>
        <charset val="128"/>
      </rPr>
      <t>　外部負債</t>
    </r>
    <rPh sb="2" eb="4">
      <t>ガイブ</t>
    </rPh>
    <rPh sb="4" eb="6">
      <t>フサイ</t>
    </rPh>
    <phoneticPr fontId="1"/>
  </si>
  <si>
    <t>短期借入金</t>
    <rPh sb="0" eb="2">
      <t>タンキ</t>
    </rPh>
    <rPh sb="2" eb="4">
      <t>カリイレ</t>
    </rPh>
    <rPh sb="4" eb="5">
      <t>キン</t>
    </rPh>
    <phoneticPr fontId="1"/>
  </si>
  <si>
    <t>1年以内償還予定学校債</t>
    <rPh sb="1" eb="2">
      <t>ネン</t>
    </rPh>
    <rPh sb="2" eb="4">
      <t>イナイ</t>
    </rPh>
    <rPh sb="4" eb="6">
      <t>ショウカン</t>
    </rPh>
    <rPh sb="6" eb="8">
      <t>ヨテイ</t>
    </rPh>
    <rPh sb="8" eb="10">
      <t>ガッコウ</t>
    </rPh>
    <rPh sb="10" eb="11">
      <t>サイ</t>
    </rPh>
    <phoneticPr fontId="1"/>
  </si>
  <si>
    <t>手形債務</t>
    <rPh sb="0" eb="2">
      <t>テガタ</t>
    </rPh>
    <rPh sb="2" eb="4">
      <t>サイム</t>
    </rPh>
    <phoneticPr fontId="1"/>
  </si>
  <si>
    <t>未払金</t>
    <rPh sb="0" eb="1">
      <t>ミ</t>
    </rPh>
    <rPh sb="1" eb="2">
      <t>バラ</t>
    </rPh>
    <rPh sb="2" eb="3">
      <t>キン</t>
    </rPh>
    <phoneticPr fontId="1"/>
  </si>
  <si>
    <t>長期借入金</t>
    <rPh sb="0" eb="2">
      <t>チョウキ</t>
    </rPh>
    <rPh sb="2" eb="4">
      <t>カリイレ</t>
    </rPh>
    <rPh sb="4" eb="5">
      <t>キン</t>
    </rPh>
    <phoneticPr fontId="1"/>
  </si>
  <si>
    <t>学校債</t>
    <rPh sb="0" eb="2">
      <t>ガッコウ</t>
    </rPh>
    <rPh sb="2" eb="3">
      <t>サイ</t>
    </rPh>
    <phoneticPr fontId="1"/>
  </si>
  <si>
    <t>長期未払金</t>
    <rPh sb="0" eb="2">
      <t>チョウキ</t>
    </rPh>
    <rPh sb="2" eb="3">
      <t>ミ</t>
    </rPh>
    <rPh sb="3" eb="4">
      <t>バラ</t>
    </rPh>
    <rPh sb="4" eb="5">
      <t>キン</t>
    </rPh>
    <phoneticPr fontId="1"/>
  </si>
  <si>
    <t>外部負債計</t>
    <rPh sb="0" eb="2">
      <t>ガイブ</t>
    </rPh>
    <rPh sb="2" eb="4">
      <t>フサイ</t>
    </rPh>
    <rPh sb="4" eb="5">
      <t>ケイ</t>
    </rPh>
    <phoneticPr fontId="1"/>
  </si>
  <si>
    <t>Ｃ運用資産－外部負債</t>
    <rPh sb="1" eb="3">
      <t>ウンヨウ</t>
    </rPh>
    <rPh sb="3" eb="5">
      <t>シサン</t>
    </rPh>
    <rPh sb="6" eb="8">
      <t>ガイブ</t>
    </rPh>
    <rPh sb="8" eb="10">
      <t>フサイ</t>
    </rPh>
    <phoneticPr fontId="1"/>
  </si>
  <si>
    <t>Ｄ　教育活動資金収支差額</t>
    <rPh sb="2" eb="4">
      <t>キョウイク</t>
    </rPh>
    <rPh sb="4" eb="6">
      <t>カツドウ</t>
    </rPh>
    <rPh sb="6" eb="8">
      <t>シキン</t>
    </rPh>
    <rPh sb="8" eb="10">
      <t>シュウシ</t>
    </rPh>
    <rPh sb="10" eb="12">
      <t>サガク</t>
    </rPh>
    <phoneticPr fontId="1"/>
  </si>
  <si>
    <t xml:space="preserve">Ｄ＜0 且つ Ｃ＞０の時、Ｃ÷Ｄ(単位：年) </t>
    <rPh sb="4" eb="5">
      <t>カ</t>
    </rPh>
    <rPh sb="11" eb="12">
      <t>トキ</t>
    </rPh>
    <rPh sb="17" eb="19">
      <t>タンイ</t>
    </rPh>
    <rPh sb="20" eb="21">
      <t>ネン</t>
    </rPh>
    <phoneticPr fontId="1"/>
  </si>
  <si>
    <t>Ｄ＞０ 且つ Ｃ＜０の時、Ｃ÷Ｄ（単位：年）</t>
    <rPh sb="4" eb="5">
      <t>カ</t>
    </rPh>
    <rPh sb="10" eb="11">
      <t>トキ</t>
    </rPh>
    <rPh sb="17" eb="19">
      <t>タンイ</t>
    </rPh>
    <rPh sb="20" eb="21">
      <t>ネン</t>
    </rPh>
    <phoneticPr fontId="1"/>
  </si>
  <si>
    <t>●貸借対照表</t>
    <phoneticPr fontId="2"/>
  </si>
  <si>
    <t>特定資産</t>
    <rPh sb="0" eb="2">
      <t>トクテイ</t>
    </rPh>
    <rPh sb="2" eb="4">
      <t>シサン</t>
    </rPh>
    <phoneticPr fontId="1"/>
  </si>
  <si>
    <t>退職給与引当特定資産</t>
    <rPh sb="0" eb="2">
      <t>タイショク</t>
    </rPh>
    <rPh sb="2" eb="4">
      <t>キュウヨ</t>
    </rPh>
    <rPh sb="4" eb="6">
      <t>ヒキアテ</t>
    </rPh>
    <rPh sb="6" eb="8">
      <t>トクテイ</t>
    </rPh>
    <rPh sb="8" eb="10">
      <t>シサン</t>
    </rPh>
    <phoneticPr fontId="1"/>
  </si>
  <si>
    <t>施設設備引当特定資産</t>
    <rPh sb="0" eb="2">
      <t>シセツ</t>
    </rPh>
    <rPh sb="2" eb="4">
      <t>セツビ</t>
    </rPh>
    <rPh sb="4" eb="6">
      <t>ヒキアテ</t>
    </rPh>
    <rPh sb="6" eb="8">
      <t>トクテイ</t>
    </rPh>
    <rPh sb="8" eb="10">
      <t>シサン</t>
    </rPh>
    <phoneticPr fontId="1"/>
  </si>
  <si>
    <t>減価償却引当特定資産</t>
    <rPh sb="0" eb="2">
      <t>ゲンカ</t>
    </rPh>
    <rPh sb="2" eb="4">
      <t>ショウキャク</t>
    </rPh>
    <rPh sb="4" eb="6">
      <t>ヒキアテ</t>
    </rPh>
    <rPh sb="6" eb="8">
      <t>トクテイ</t>
    </rPh>
    <rPh sb="8" eb="10">
      <t>シサン</t>
    </rPh>
    <phoneticPr fontId="1"/>
  </si>
  <si>
    <t>その他引当特定資産</t>
    <rPh sb="2" eb="3">
      <t>タ</t>
    </rPh>
    <rPh sb="3" eb="5">
      <t>ヒキアテ</t>
    </rPh>
    <rPh sb="5" eb="7">
      <t>トクテイ</t>
    </rPh>
    <rPh sb="7" eb="9">
      <t>シサン</t>
    </rPh>
    <phoneticPr fontId="1"/>
  </si>
  <si>
    <t>その他の固定資産</t>
    <rPh sb="2" eb="3">
      <t>タ</t>
    </rPh>
    <rPh sb="4" eb="6">
      <t>コテイ</t>
    </rPh>
    <rPh sb="6" eb="8">
      <t>シサン</t>
    </rPh>
    <phoneticPr fontId="1"/>
  </si>
  <si>
    <t>流動資産</t>
    <rPh sb="0" eb="2">
      <t>リュウドウ</t>
    </rPh>
    <rPh sb="2" eb="4">
      <t>シサン</t>
    </rPh>
    <phoneticPr fontId="1"/>
  </si>
  <si>
    <t>その他（運用資産に該当するもの）</t>
    <rPh sb="2" eb="3">
      <t>タ</t>
    </rPh>
    <rPh sb="4" eb="6">
      <t>ウンヨウ</t>
    </rPh>
    <rPh sb="6" eb="8">
      <t>シサン</t>
    </rPh>
    <rPh sb="9" eb="11">
      <t>ガイトウ</t>
    </rPh>
    <phoneticPr fontId="1"/>
  </si>
  <si>
    <t>有価証券</t>
    <phoneticPr fontId="1"/>
  </si>
  <si>
    <t>（入力不要）</t>
    <rPh sb="1" eb="3">
      <t>ニュウリョク</t>
    </rPh>
    <rPh sb="3" eb="5">
      <t>フヨウ</t>
    </rPh>
    <phoneticPr fontId="1"/>
  </si>
  <si>
    <t>(入力不要)</t>
    <rPh sb="1" eb="3">
      <t>ニュウリョク</t>
    </rPh>
    <rPh sb="3" eb="5">
      <t>フヨウ</t>
    </rPh>
    <phoneticPr fontId="1"/>
  </si>
  <si>
    <t>固定負債</t>
    <rPh sb="0" eb="2">
      <t>コテイ</t>
    </rPh>
    <rPh sb="2" eb="4">
      <t>フサイ</t>
    </rPh>
    <phoneticPr fontId="1"/>
  </si>
  <si>
    <t>流動負債</t>
    <rPh sb="0" eb="2">
      <t>リュウドウ</t>
    </rPh>
    <rPh sb="2" eb="4">
      <t>フサイ</t>
    </rPh>
    <phoneticPr fontId="1"/>
  </si>
  <si>
    <t>教育活動資金支出計</t>
    <rPh sb="0" eb="2">
      <t>キョウイク</t>
    </rPh>
    <rPh sb="2" eb="4">
      <t>カツドウ</t>
    </rPh>
    <rPh sb="4" eb="6">
      <t>シキン</t>
    </rPh>
    <rPh sb="6" eb="8">
      <t>シシュツ</t>
    </rPh>
    <rPh sb="8" eb="9">
      <t>ケイ</t>
    </rPh>
    <phoneticPr fontId="1"/>
  </si>
  <si>
    <t>その他の活動資金支出計</t>
    <rPh sb="2" eb="3">
      <t>タ</t>
    </rPh>
    <rPh sb="4" eb="6">
      <t>カツドウ</t>
    </rPh>
    <rPh sb="6" eb="8">
      <t>シキン</t>
    </rPh>
    <rPh sb="8" eb="10">
      <t>シシュツ</t>
    </rPh>
    <rPh sb="10" eb="11">
      <t>ケイ</t>
    </rPh>
    <phoneticPr fontId="1"/>
  </si>
  <si>
    <t>令和25年度</t>
    <rPh sb="4" eb="6">
      <t>ネンド</t>
    </rPh>
    <phoneticPr fontId="2"/>
  </si>
  <si>
    <t>令和25</t>
  </si>
  <si>
    <t>25年度</t>
  </si>
  <si>
    <t>令和26年度</t>
    <rPh sb="4" eb="6">
      <t>ネンド</t>
    </rPh>
    <phoneticPr fontId="2"/>
  </si>
  <si>
    <t>令和26</t>
  </si>
  <si>
    <t>26年度</t>
  </si>
  <si>
    <t>令和27年度</t>
    <rPh sb="4" eb="6">
      <t>ネンド</t>
    </rPh>
    <phoneticPr fontId="2"/>
  </si>
  <si>
    <t>令和27</t>
  </si>
  <si>
    <t>27年度</t>
  </si>
  <si>
    <t>令和28年度</t>
    <rPh sb="4" eb="6">
      <t>ネンド</t>
    </rPh>
    <phoneticPr fontId="2"/>
  </si>
  <si>
    <t>令和28</t>
  </si>
  <si>
    <t>28年度</t>
  </si>
  <si>
    <t>令和29年度</t>
    <rPh sb="4" eb="6">
      <t>ネンド</t>
    </rPh>
    <phoneticPr fontId="2"/>
  </si>
  <si>
    <t>令和29</t>
  </si>
  <si>
    <t>29年度</t>
  </si>
  <si>
    <t>令和30年度</t>
    <rPh sb="4" eb="6">
      <t>ネンド</t>
    </rPh>
    <phoneticPr fontId="2"/>
  </si>
  <si>
    <t>令和30</t>
  </si>
  <si>
    <t>30年度</t>
  </si>
  <si>
    <t>令和24</t>
  </si>
  <si>
    <t>現金預金は様式4の資金収支計算表（法人全体）の翌年度繰越支払資金と一致させ、短期借入金と長期借入金の計が「積算基礎3（借入金関係）」の合計欄の期末残高と一致させてください。</t>
    <rPh sb="0" eb="2">
      <t>ゲンキン</t>
    </rPh>
    <rPh sb="2" eb="4">
      <t>ヨキン</t>
    </rPh>
    <rPh sb="5" eb="7">
      <t>ヨウシキ</t>
    </rPh>
    <rPh sb="9" eb="11">
      <t>シキン</t>
    </rPh>
    <rPh sb="11" eb="13">
      <t>シュウシ</t>
    </rPh>
    <rPh sb="13" eb="15">
      <t>ケイサン</t>
    </rPh>
    <rPh sb="15" eb="16">
      <t>ヒョウ</t>
    </rPh>
    <rPh sb="17" eb="19">
      <t>ホウジン</t>
    </rPh>
    <rPh sb="19" eb="21">
      <t>ゼンタイ</t>
    </rPh>
    <rPh sb="23" eb="26">
      <t>ヨクネンド</t>
    </rPh>
    <rPh sb="26" eb="28">
      <t>クリコシ</t>
    </rPh>
    <rPh sb="28" eb="30">
      <t>シハライ</t>
    </rPh>
    <rPh sb="30" eb="32">
      <t>シキン</t>
    </rPh>
    <rPh sb="33" eb="35">
      <t>イッチ</t>
    </rPh>
    <rPh sb="38" eb="40">
      <t>タンキ</t>
    </rPh>
    <rPh sb="40" eb="42">
      <t>カリイレ</t>
    </rPh>
    <rPh sb="42" eb="43">
      <t>キン</t>
    </rPh>
    <rPh sb="44" eb="46">
      <t>チョウキ</t>
    </rPh>
    <rPh sb="46" eb="48">
      <t>カリイレ</t>
    </rPh>
    <rPh sb="48" eb="49">
      <t>キン</t>
    </rPh>
    <rPh sb="50" eb="51">
      <t>ケイ</t>
    </rPh>
    <rPh sb="53" eb="55">
      <t>セキサン</t>
    </rPh>
    <rPh sb="55" eb="57">
      <t>キソ</t>
    </rPh>
    <rPh sb="59" eb="61">
      <t>カリイレ</t>
    </rPh>
    <rPh sb="61" eb="62">
      <t>キン</t>
    </rPh>
    <rPh sb="62" eb="64">
      <t>カンケイ</t>
    </rPh>
    <rPh sb="67" eb="69">
      <t>ゴウケイ</t>
    </rPh>
    <rPh sb="69" eb="70">
      <t>ラン</t>
    </rPh>
    <rPh sb="71" eb="73">
      <t>キマツ</t>
    </rPh>
    <rPh sb="73" eb="75">
      <t>ザンダカ</t>
    </rPh>
    <rPh sb="76" eb="78">
      <t>イッチ</t>
    </rPh>
    <phoneticPr fontId="2"/>
  </si>
  <si>
    <t>長期借入金については、以下の内容で入力してください。
「借入額」・・・該当年度に借入を行った（借入予定）額
「返済額」・・・該当年度に繰上返済した（返済予定）額（約定に従っていない繰上返済のみ記載）
「返済１年以内短借に移行」・・・該当年度の翌年度の返済予定額
（長期借入金の「返済１年以内短借に移行」と短期借入金の「返済１年以内長借から移行」は一致します）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</si>
</sst>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0%"/>
    <numFmt numFmtId="177" formatCode="#,##0;&quot;△ &quot;#,##0"/>
    <numFmt numFmtId="178" formatCode="&quot;平成&quot;##&quot;年度&quot;"/>
    <numFmt numFmtId="179" formatCode="##&quot;年度決算&quot;"/>
    <numFmt numFmtId="180" formatCode="#,###_ "/>
    <numFmt numFmtId="181" formatCode="[$-411]ggge&quot;年&quot;m&quot;月&quot;d&quot;日&quot;;@"/>
    <numFmt numFmtId="182" formatCode="##&quot;年度実績&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5"/>
      <name val="ＭＳ Ｐゴシック"/>
      <family val="3"/>
      <charset val="128"/>
    </font>
    <font>
      <sz val="10"/>
      <name val="ＭＳ Ｐゴシック"/>
      <family val="3"/>
      <charset val="128"/>
    </font>
    <font>
      <sz val="10.5"/>
      <name val="ＭＳ Ｐゴシック"/>
      <family val="3"/>
      <charset val="128"/>
    </font>
    <font>
      <b/>
      <sz val="12"/>
      <name val="ＭＳ Ｐゴシック"/>
      <family val="3"/>
      <charset val="128"/>
    </font>
    <font>
      <sz val="11"/>
      <color indexed="10"/>
      <name val="ＭＳ ゴシック"/>
      <family val="3"/>
      <charset val="128"/>
    </font>
    <font>
      <sz val="11"/>
      <color indexed="10"/>
      <name val="ＭＳ Ｐゴシック"/>
      <family val="3"/>
      <charset val="128"/>
    </font>
    <font>
      <sz val="16"/>
      <name val="ＭＳ Ｐゴシック"/>
      <family val="3"/>
      <charset val="128"/>
    </font>
    <font>
      <sz val="18"/>
      <name val="ＭＳ Ｐゴシック"/>
      <family val="3"/>
      <charset val="128"/>
    </font>
    <font>
      <sz val="11"/>
      <name val="ＭＳ Ｐゴシック"/>
      <family val="3"/>
      <charset val="128"/>
    </font>
    <font>
      <sz val="11"/>
      <name val="ＭＳ Ｐゴシック"/>
      <family val="3"/>
      <charset val="128"/>
    </font>
    <font>
      <sz val="8"/>
      <name val="ＭＳ Ｐゴシック"/>
      <family val="3"/>
      <charset val="128"/>
    </font>
    <font>
      <sz val="20"/>
      <name val="ＭＳ Ｐゴシック"/>
      <family val="3"/>
      <charset val="128"/>
    </font>
    <font>
      <b/>
      <sz val="16"/>
      <name val="ＭＳ Ｐゴシック"/>
      <family val="3"/>
      <charset val="128"/>
    </font>
    <font>
      <b/>
      <sz val="18"/>
      <name val="ＭＳ Ｐゴシック"/>
      <family val="3"/>
      <charset val="128"/>
    </font>
    <font>
      <sz val="11"/>
      <name val="ＭＳ Ｐゴシック"/>
      <family val="3"/>
      <charset val="128"/>
    </font>
    <font>
      <sz val="11"/>
      <color rgb="FFFF0000"/>
      <name val="ＭＳ Ｐゴシック"/>
      <family val="3"/>
      <charset val="128"/>
    </font>
    <font>
      <sz val="14"/>
      <color rgb="FFFF0000"/>
      <name val="ＭＳ Ｐゴシック"/>
      <family val="3"/>
      <charset val="128"/>
    </font>
    <font>
      <sz val="9"/>
      <name val="ＭＳ Ｐゴシック"/>
      <family val="3"/>
      <charset val="128"/>
    </font>
    <font>
      <sz val="12"/>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20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right/>
      <top style="thin">
        <color indexed="64"/>
      </top>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style="medium">
        <color indexed="64"/>
      </bottom>
      <diagonal/>
    </border>
    <border>
      <left style="thin">
        <color indexed="64"/>
      </left>
      <right/>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medium">
        <color indexed="64"/>
      </top>
      <bottom style="medium">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style="hair">
        <color indexed="64"/>
      </left>
      <right/>
      <top style="hair">
        <color indexed="64"/>
      </top>
      <bottom style="thin">
        <color indexed="64"/>
      </bottom>
      <diagonal/>
    </border>
    <border>
      <left/>
      <right/>
      <top style="hair">
        <color indexed="64"/>
      </top>
      <bottom/>
      <diagonal/>
    </border>
    <border>
      <left style="medium">
        <color indexed="64"/>
      </left>
      <right style="hair">
        <color indexed="64"/>
      </right>
      <top/>
      <bottom style="thin">
        <color indexed="64"/>
      </bottom>
      <diagonal/>
    </border>
    <border>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medium">
        <color indexed="64"/>
      </top>
      <bottom style="thin">
        <color indexed="64"/>
      </bottom>
      <diagonal/>
    </border>
    <border>
      <left style="hair">
        <color indexed="64"/>
      </left>
      <right style="thick">
        <color indexed="64"/>
      </right>
      <top style="medium">
        <color indexed="64"/>
      </top>
      <bottom style="thin">
        <color indexed="64"/>
      </bottom>
      <diagonal/>
    </border>
    <border>
      <left style="hair">
        <color indexed="64"/>
      </left>
      <right style="thick">
        <color indexed="64"/>
      </right>
      <top style="thin">
        <color indexed="64"/>
      </top>
      <bottom/>
      <diagonal/>
    </border>
    <border>
      <left style="hair">
        <color indexed="64"/>
      </left>
      <right style="thick">
        <color indexed="64"/>
      </right>
      <top/>
      <bottom/>
      <diagonal/>
    </border>
    <border>
      <left style="hair">
        <color indexed="64"/>
      </left>
      <right style="thick">
        <color indexed="64"/>
      </right>
      <top style="thin">
        <color indexed="64"/>
      </top>
      <bottom style="thin">
        <color indexed="64"/>
      </bottom>
      <diagonal/>
    </border>
    <border>
      <left style="thick">
        <color indexed="64"/>
      </left>
      <right style="thick">
        <color indexed="64"/>
      </right>
      <top style="hair">
        <color indexed="64"/>
      </top>
      <bottom style="hair">
        <color indexed="64"/>
      </bottom>
      <diagonal/>
    </border>
    <border>
      <left style="hair">
        <color indexed="64"/>
      </left>
      <right style="thick">
        <color indexed="64"/>
      </right>
      <top style="medium">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hair">
        <color indexed="64"/>
      </bottom>
      <diagonal/>
    </border>
    <border>
      <left style="thick">
        <color indexed="64"/>
      </left>
      <right style="thick">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hair">
        <color indexed="64"/>
      </left>
      <right style="thick">
        <color indexed="64"/>
      </right>
      <top style="thin">
        <color indexed="64"/>
      </top>
      <bottom style="hair">
        <color indexed="64"/>
      </bottom>
      <diagonal/>
    </border>
    <border>
      <left style="thick">
        <color indexed="64"/>
      </left>
      <right style="thick">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ck">
        <color indexed="64"/>
      </left>
      <right style="thick">
        <color indexed="64"/>
      </right>
      <top style="medium">
        <color indexed="64"/>
      </top>
      <bottom style="hair">
        <color indexed="64"/>
      </bottom>
      <diagonal/>
    </border>
    <border>
      <left/>
      <right style="thin">
        <color indexed="64"/>
      </right>
      <top style="thin">
        <color indexed="64"/>
      </top>
      <bottom style="medium">
        <color indexed="64"/>
      </bottom>
      <diagonal/>
    </border>
    <border>
      <left style="hair">
        <color indexed="64"/>
      </left>
      <right style="thick">
        <color indexed="64"/>
      </right>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top style="medium">
        <color indexed="64"/>
      </top>
      <bottom/>
      <diagonal/>
    </border>
    <border>
      <left style="thick">
        <color indexed="64"/>
      </left>
      <right style="thick">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right style="medium">
        <color indexed="64"/>
      </right>
      <top style="medium">
        <color indexed="64"/>
      </top>
      <bottom/>
      <diagonal/>
    </border>
    <border>
      <left style="thick">
        <color indexed="64"/>
      </left>
      <right style="thick">
        <color indexed="64"/>
      </right>
      <top style="hair">
        <color indexed="64"/>
      </top>
      <bottom/>
      <diagonal/>
    </border>
    <border>
      <left style="hair">
        <color indexed="64"/>
      </left>
      <right style="thick">
        <color indexed="64"/>
      </right>
      <top style="hair">
        <color indexed="64"/>
      </top>
      <bottom/>
      <diagonal/>
    </border>
    <border>
      <left style="hair">
        <color indexed="64"/>
      </left>
      <right style="thick">
        <color indexed="64"/>
      </right>
      <top style="medium">
        <color indexed="64"/>
      </top>
      <bottom/>
      <diagonal/>
    </border>
    <border>
      <left/>
      <right style="hair">
        <color indexed="64"/>
      </right>
      <top/>
      <bottom style="hair">
        <color indexed="64"/>
      </bottom>
      <diagonal/>
    </border>
    <border>
      <left/>
      <right style="hair">
        <color indexed="64"/>
      </right>
      <top style="medium">
        <color indexed="64"/>
      </top>
      <bottom style="medium">
        <color indexed="64"/>
      </bottom>
      <diagonal/>
    </border>
    <border>
      <left/>
      <right style="hair">
        <color indexed="64"/>
      </right>
      <top style="medium">
        <color indexed="64"/>
      </top>
      <bottom/>
      <diagonal/>
    </border>
    <border>
      <left style="hair">
        <color indexed="64"/>
      </left>
      <right style="thick">
        <color indexed="64"/>
      </right>
      <top style="thin">
        <color indexed="64"/>
      </top>
      <bottom style="medium">
        <color indexed="64"/>
      </bottom>
      <diagonal/>
    </border>
    <border>
      <left/>
      <right/>
      <top style="medium">
        <color indexed="64"/>
      </top>
      <bottom style="thick">
        <color indexed="64"/>
      </bottom>
      <diagonal/>
    </border>
    <border>
      <left style="hair">
        <color indexed="64"/>
      </left>
      <right style="thick">
        <color indexed="64"/>
      </right>
      <top style="hair">
        <color indexed="64"/>
      </top>
      <bottom style="thin">
        <color indexed="64"/>
      </bottom>
      <diagonal/>
    </border>
    <border>
      <left style="thick">
        <color auto="1"/>
      </left>
      <right/>
      <top/>
      <bottom/>
      <diagonal/>
    </border>
    <border>
      <left style="medium">
        <color auto="1"/>
      </left>
      <right style="medium">
        <color auto="1"/>
      </right>
      <top style="medium">
        <color auto="1"/>
      </top>
      <bottom style="medium">
        <color auto="1"/>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ck">
        <color indexed="64"/>
      </left>
      <right style="thick">
        <color indexed="64"/>
      </right>
      <top/>
      <bottom style="thin">
        <color indexed="64"/>
      </bottom>
      <diagonal/>
    </border>
    <border>
      <left style="hair">
        <color indexed="64"/>
      </left>
      <right style="thick">
        <color indexed="64"/>
      </right>
      <top/>
      <bottom style="thin">
        <color indexed="64"/>
      </bottom>
      <diagonal/>
    </border>
    <border>
      <left/>
      <right style="thin">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cellStyleXfs>
  <cellXfs count="1080">
    <xf numFmtId="0" fontId="0" fillId="0" borderId="0" xfId="0">
      <alignment vertical="center"/>
    </xf>
    <xf numFmtId="0" fontId="3" fillId="0" borderId="0" xfId="0" applyFont="1" applyFill="1">
      <alignment vertical="center"/>
    </xf>
    <xf numFmtId="0" fontId="4" fillId="0" borderId="0" xfId="2"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2" xfId="0" applyBorder="1" applyAlignment="1">
      <alignment horizontal="center" vertical="center"/>
    </xf>
    <xf numFmtId="0" fontId="11" fillId="0" borderId="0" xfId="0" applyFont="1" applyFill="1" applyBorder="1" applyAlignment="1">
      <alignment vertical="top"/>
    </xf>
    <xf numFmtId="0" fontId="4" fillId="0" borderId="0" xfId="0" applyFont="1" applyFill="1">
      <alignment vertical="center"/>
    </xf>
    <xf numFmtId="0" fontId="4" fillId="0" borderId="0" xfId="0" applyFont="1" applyFill="1" applyAlignment="1">
      <alignment horizontal="center" vertical="center"/>
    </xf>
    <xf numFmtId="0" fontId="4" fillId="0" borderId="3" xfId="0" applyFont="1" applyFill="1" applyBorder="1" applyAlignment="1">
      <alignment horizontal="center"/>
    </xf>
    <xf numFmtId="0" fontId="4" fillId="0" borderId="3" xfId="0" applyFont="1" applyFill="1" applyBorder="1" applyAlignment="1">
      <alignment horizontal="left" vertical="center"/>
    </xf>
    <xf numFmtId="38" fontId="4" fillId="0" borderId="5" xfId="1" applyFont="1" applyFill="1" applyBorder="1" applyAlignment="1">
      <alignment vertical="center"/>
    </xf>
    <xf numFmtId="38" fontId="4" fillId="0" borderId="6" xfId="1" applyFont="1" applyFill="1" applyBorder="1" applyAlignment="1">
      <alignment vertical="center"/>
    </xf>
    <xf numFmtId="0" fontId="4" fillId="0" borderId="2" xfId="0" applyFont="1" applyFill="1" applyBorder="1" applyAlignment="1">
      <alignment horizontal="left"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Alignment="1">
      <alignment vertical="top"/>
    </xf>
    <xf numFmtId="0" fontId="12" fillId="0" borderId="0" xfId="0" applyFont="1" applyFill="1" applyBorder="1" applyAlignment="1">
      <alignment horizontal="right" vertical="top"/>
    </xf>
    <xf numFmtId="38" fontId="4" fillId="0" borderId="7" xfId="1" applyFont="1" applyFill="1" applyBorder="1" applyAlignment="1">
      <alignment vertical="center"/>
    </xf>
    <xf numFmtId="0" fontId="4" fillId="0" borderId="8" xfId="0" applyFont="1" applyFill="1" applyBorder="1" applyAlignment="1">
      <alignment vertical="center"/>
    </xf>
    <xf numFmtId="38" fontId="4" fillId="0" borderId="9" xfId="1" applyFont="1" applyFill="1" applyBorder="1" applyAlignment="1">
      <alignment vertical="center"/>
    </xf>
    <xf numFmtId="38" fontId="4" fillId="0" borderId="10" xfId="1" applyFont="1" applyFill="1" applyBorder="1" applyAlignment="1">
      <alignment vertical="center"/>
    </xf>
    <xf numFmtId="0" fontId="4" fillId="0" borderId="12" xfId="0" applyFont="1" applyFill="1" applyBorder="1" applyAlignment="1">
      <alignment vertical="center"/>
    </xf>
    <xf numFmtId="38" fontId="4" fillId="0" borderId="13" xfId="1" applyFont="1" applyFill="1" applyBorder="1" applyAlignment="1">
      <alignment vertical="center"/>
    </xf>
    <xf numFmtId="38" fontId="4" fillId="0" borderId="14" xfId="1" applyFont="1" applyFill="1" applyBorder="1" applyAlignment="1">
      <alignment vertical="center"/>
    </xf>
    <xf numFmtId="0" fontId="4" fillId="0" borderId="15" xfId="0" applyFont="1" applyFill="1" applyBorder="1" applyAlignment="1">
      <alignment vertical="center"/>
    </xf>
    <xf numFmtId="38" fontId="4" fillId="0" borderId="16" xfId="1" applyFont="1" applyFill="1" applyBorder="1" applyAlignment="1">
      <alignment vertical="center"/>
    </xf>
    <xf numFmtId="38" fontId="4" fillId="0" borderId="17" xfId="1" applyFont="1" applyFill="1" applyBorder="1" applyAlignment="1">
      <alignment vertical="center"/>
    </xf>
    <xf numFmtId="0" fontId="13" fillId="0" borderId="19" xfId="4" applyFont="1" applyBorder="1" applyAlignment="1">
      <alignment horizontal="center" vertical="center"/>
    </xf>
    <xf numFmtId="0" fontId="14" fillId="0" borderId="0" xfId="4" applyFont="1" applyAlignment="1">
      <alignment vertical="center"/>
    </xf>
    <xf numFmtId="0" fontId="14" fillId="0" borderId="20" xfId="4" applyFont="1" applyBorder="1" applyAlignment="1">
      <alignment horizontal="center" vertical="center"/>
    </xf>
    <xf numFmtId="0" fontId="14" fillId="0" borderId="21" xfId="4" applyFont="1" applyBorder="1" applyAlignment="1">
      <alignment horizontal="center" vertical="center"/>
    </xf>
    <xf numFmtId="0" fontId="14" fillId="2" borderId="21" xfId="4" applyFont="1" applyFill="1" applyBorder="1" applyAlignment="1">
      <alignment horizontal="center" vertical="center"/>
    </xf>
    <xf numFmtId="0" fontId="14" fillId="0" borderId="22" xfId="4" applyFont="1" applyBorder="1" applyAlignment="1" applyProtection="1">
      <alignment horizontal="center" vertical="center"/>
    </xf>
    <xf numFmtId="0" fontId="10" fillId="0" borderId="0" xfId="4" applyFont="1" applyAlignment="1">
      <alignment vertical="center"/>
    </xf>
    <xf numFmtId="0" fontId="13" fillId="0" borderId="0" xfId="4" applyFont="1" applyAlignment="1">
      <alignment vertical="center"/>
    </xf>
    <xf numFmtId="177" fontId="13" fillId="0" borderId="0" xfId="4" applyNumberFormat="1" applyFont="1" applyAlignment="1">
      <alignment vertical="center" shrinkToFit="1"/>
    </xf>
    <xf numFmtId="0" fontId="13"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2" borderId="21" xfId="0" applyFont="1" applyFill="1" applyBorder="1" applyAlignment="1">
      <alignment horizontal="center" vertical="center"/>
    </xf>
    <xf numFmtId="0" fontId="14" fillId="0" borderId="22" xfId="0" applyFont="1" applyBorder="1" applyAlignment="1" applyProtection="1">
      <alignment horizontal="center" vertical="center"/>
    </xf>
    <xf numFmtId="0" fontId="10" fillId="0" borderId="0" xfId="0" applyFont="1" applyAlignment="1">
      <alignment vertical="center"/>
    </xf>
    <xf numFmtId="0" fontId="13" fillId="0" borderId="0" xfId="0" applyFont="1" applyAlignment="1">
      <alignment vertical="center"/>
    </xf>
    <xf numFmtId="177" fontId="13" fillId="0" borderId="0" xfId="0" applyNumberFormat="1" applyFont="1" applyAlignment="1">
      <alignment vertical="center" shrinkToFit="1"/>
    </xf>
    <xf numFmtId="0" fontId="14" fillId="0" borderId="3" xfId="0" applyFont="1" applyBorder="1" applyAlignment="1">
      <alignment vertical="center"/>
    </xf>
    <xf numFmtId="0" fontId="14" fillId="0" borderId="23" xfId="0" applyFont="1" applyBorder="1" applyAlignment="1">
      <alignment vertical="center"/>
    </xf>
    <xf numFmtId="0" fontId="14" fillId="0" borderId="20" xfId="0" applyFont="1" applyBorder="1" applyAlignment="1">
      <alignment vertical="center"/>
    </xf>
    <xf numFmtId="0" fontId="14" fillId="0" borderId="24" xfId="0" applyFont="1" applyBorder="1" applyAlignment="1">
      <alignment vertical="center"/>
    </xf>
    <xf numFmtId="0" fontId="14" fillId="0" borderId="22" xfId="0" applyFont="1" applyBorder="1" applyAlignment="1">
      <alignment vertical="center"/>
    </xf>
    <xf numFmtId="0" fontId="14" fillId="2" borderId="3" xfId="0" applyFont="1" applyFill="1" applyBorder="1" applyAlignment="1">
      <alignment vertical="center"/>
    </xf>
    <xf numFmtId="41" fontId="11" fillId="0" borderId="0" xfId="4" applyNumberFormat="1" applyFont="1" applyAlignment="1" applyProtection="1">
      <alignment horizontal="left" vertical="center"/>
    </xf>
    <xf numFmtId="0" fontId="11" fillId="0" borderId="0" xfId="0" applyFont="1" applyAlignment="1">
      <alignment vertical="top"/>
    </xf>
    <xf numFmtId="41" fontId="11" fillId="0" borderId="0" xfId="4" applyNumberFormat="1" applyFont="1" applyAlignment="1" applyProtection="1">
      <alignment vertical="center"/>
    </xf>
    <xf numFmtId="0" fontId="4" fillId="0" borderId="20" xfId="0" applyFont="1" applyFill="1" applyBorder="1" applyAlignment="1">
      <alignment horizontal="left" vertical="center"/>
    </xf>
    <xf numFmtId="0" fontId="4" fillId="0" borderId="25" xfId="0" applyFont="1" applyFill="1" applyBorder="1" applyAlignment="1">
      <alignment horizontal="left" vertical="center"/>
    </xf>
    <xf numFmtId="0" fontId="4" fillId="0" borderId="21" xfId="0" applyFont="1" applyFill="1" applyBorder="1" applyAlignment="1">
      <alignment horizontal="left" vertical="center"/>
    </xf>
    <xf numFmtId="0" fontId="4" fillId="0" borderId="21" xfId="0" applyFont="1" applyFill="1" applyBorder="1" applyAlignment="1">
      <alignment vertical="center"/>
    </xf>
    <xf numFmtId="0" fontId="4" fillId="0" borderId="25" xfId="0" applyFont="1" applyFill="1" applyBorder="1" applyAlignment="1">
      <alignment vertical="center"/>
    </xf>
    <xf numFmtId="0" fontId="4" fillId="0" borderId="19" xfId="0" applyFont="1" applyFill="1" applyBorder="1" applyAlignment="1">
      <alignment vertical="center"/>
    </xf>
    <xf numFmtId="0" fontId="4" fillId="0" borderId="3" xfId="0" applyFont="1" applyFill="1" applyBorder="1" applyAlignment="1">
      <alignment vertical="center"/>
    </xf>
    <xf numFmtId="0" fontId="8" fillId="0" borderId="19" xfId="0" applyFont="1" applyFill="1" applyBorder="1" applyAlignment="1">
      <alignment vertical="center"/>
    </xf>
    <xf numFmtId="0" fontId="11" fillId="0" borderId="0" xfId="0" applyFont="1" applyFill="1">
      <alignment vertical="center"/>
    </xf>
    <xf numFmtId="0" fontId="4" fillId="0" borderId="31" xfId="0" applyFont="1" applyFill="1" applyBorder="1" applyAlignment="1">
      <alignment vertical="center"/>
    </xf>
    <xf numFmtId="0" fontId="4" fillId="0" borderId="24" xfId="0" applyFont="1" applyFill="1" applyBorder="1" applyAlignment="1">
      <alignment vertical="center"/>
    </xf>
    <xf numFmtId="179" fontId="4" fillId="0" borderId="4"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9" fontId="4" fillId="0" borderId="6" xfId="0" applyNumberFormat="1" applyFont="1" applyFill="1" applyBorder="1" applyAlignment="1">
      <alignment horizontal="center" vertical="center" wrapText="1"/>
    </xf>
    <xf numFmtId="0" fontId="4" fillId="0" borderId="23" xfId="0" applyFont="1" applyFill="1" applyBorder="1" applyAlignment="1">
      <alignment horizontal="left" vertical="center"/>
    </xf>
    <xf numFmtId="0" fontId="4" fillId="0" borderId="32" xfId="0" applyFont="1" applyFill="1" applyBorder="1" applyAlignment="1">
      <alignment horizontal="left" vertical="center"/>
    </xf>
    <xf numFmtId="0" fontId="4" fillId="0" borderId="12" xfId="0" applyFont="1" applyFill="1" applyBorder="1" applyAlignment="1">
      <alignment horizontal="left" vertical="center"/>
    </xf>
    <xf numFmtId="0" fontId="4" fillId="0" borderId="31" xfId="0" applyFont="1" applyFill="1" applyBorder="1" applyAlignment="1">
      <alignment horizontal="left" vertical="center"/>
    </xf>
    <xf numFmtId="0" fontId="4" fillId="0" borderId="33" xfId="0" applyFont="1" applyFill="1" applyBorder="1" applyAlignment="1">
      <alignment horizontal="left" vertical="center"/>
    </xf>
    <xf numFmtId="0" fontId="4" fillId="0" borderId="8" xfId="0" applyFont="1" applyFill="1" applyBorder="1" applyAlignment="1">
      <alignment horizontal="lef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12" fillId="0" borderId="30" xfId="0" applyFont="1" applyFill="1" applyBorder="1" applyAlignment="1">
      <alignment vertical="top"/>
    </xf>
    <xf numFmtId="178" fontId="0" fillId="0" borderId="0" xfId="0" applyNumberFormat="1" applyBorder="1" applyAlignment="1">
      <alignment horizontal="center" vertical="center"/>
    </xf>
    <xf numFmtId="0" fontId="9" fillId="0" borderId="0" xfId="0" applyFont="1" applyAlignment="1" applyProtection="1">
      <alignment vertical="center"/>
    </xf>
    <xf numFmtId="0" fontId="12" fillId="0" borderId="0" xfId="0" applyFont="1" applyFill="1">
      <alignment vertical="center"/>
    </xf>
    <xf numFmtId="0" fontId="15" fillId="0" borderId="0" xfId="0" applyFont="1" applyBorder="1" applyAlignment="1">
      <alignment horizontal="left" vertical="center"/>
    </xf>
    <xf numFmtId="181" fontId="6" fillId="0" borderId="0" xfId="0" applyNumberFormat="1" applyFont="1" applyAlignment="1">
      <alignment horizontal="right" vertical="center"/>
    </xf>
    <xf numFmtId="0" fontId="4" fillId="0" borderId="19" xfId="0" applyFont="1" applyFill="1" applyBorder="1" applyAlignment="1">
      <alignment horizontal="center"/>
    </xf>
    <xf numFmtId="0" fontId="4" fillId="0" borderId="19" xfId="0" applyFont="1" applyFill="1" applyBorder="1" applyAlignment="1">
      <alignment horizontal="center" vertical="center"/>
    </xf>
    <xf numFmtId="0" fontId="13" fillId="0" borderId="3" xfId="0" applyFont="1" applyFill="1" applyBorder="1" applyAlignment="1">
      <alignment horizontal="center" vertical="center"/>
    </xf>
    <xf numFmtId="0" fontId="4" fillId="0" borderId="3" xfId="0" applyFont="1" applyFill="1" applyBorder="1" applyAlignment="1">
      <alignment horizontal="center" vertical="center"/>
    </xf>
    <xf numFmtId="38" fontId="4" fillId="0" borderId="3" xfId="1" applyFont="1" applyFill="1" applyBorder="1" applyAlignment="1">
      <alignment vertical="center"/>
    </xf>
    <xf numFmtId="38" fontId="4" fillId="0" borderId="62" xfId="1" applyFont="1" applyFill="1" applyBorder="1" applyAlignment="1">
      <alignment vertical="center"/>
    </xf>
    <xf numFmtId="38" fontId="4" fillId="3" borderId="63" xfId="1" applyFont="1" applyFill="1" applyBorder="1" applyAlignment="1">
      <alignment vertical="center"/>
    </xf>
    <xf numFmtId="38" fontId="4" fillId="3" borderId="5" xfId="1" applyFont="1" applyFill="1" applyBorder="1" applyAlignment="1">
      <alignment vertical="center"/>
    </xf>
    <xf numFmtId="38" fontId="4" fillId="3" borderId="64" xfId="1" applyFont="1" applyFill="1" applyBorder="1" applyAlignment="1">
      <alignment vertical="center"/>
    </xf>
    <xf numFmtId="38" fontId="4" fillId="3" borderId="65" xfId="1" applyFont="1" applyFill="1" applyBorder="1" applyAlignment="1">
      <alignment vertical="center"/>
    </xf>
    <xf numFmtId="38" fontId="4" fillId="3" borderId="66" xfId="1" applyFont="1" applyFill="1" applyBorder="1" applyAlignment="1">
      <alignment vertical="center"/>
    </xf>
    <xf numFmtId="38" fontId="4" fillId="3" borderId="67" xfId="1" applyFont="1" applyFill="1" applyBorder="1" applyAlignment="1">
      <alignment vertical="center"/>
    </xf>
    <xf numFmtId="38" fontId="4" fillId="3" borderId="68" xfId="1" applyFont="1" applyFill="1" applyBorder="1" applyAlignment="1">
      <alignment vertical="center"/>
    </xf>
    <xf numFmtId="38" fontId="4" fillId="3" borderId="69" xfId="1" applyFont="1" applyFill="1" applyBorder="1" applyAlignment="1">
      <alignment vertical="center"/>
    </xf>
    <xf numFmtId="3" fontId="4" fillId="0" borderId="3" xfId="1" applyNumberFormat="1" applyFont="1" applyFill="1" applyBorder="1" applyAlignment="1">
      <alignment vertical="center"/>
    </xf>
    <xf numFmtId="38" fontId="4" fillId="3" borderId="70" xfId="1" applyFont="1" applyFill="1" applyBorder="1" applyAlignment="1">
      <alignment vertical="center"/>
    </xf>
    <xf numFmtId="38" fontId="4" fillId="3" borderId="13" xfId="1" applyFont="1" applyFill="1" applyBorder="1" applyAlignment="1">
      <alignment vertical="center"/>
    </xf>
    <xf numFmtId="38" fontId="4" fillId="3" borderId="71" xfId="1" applyFont="1" applyFill="1" applyBorder="1" applyAlignment="1">
      <alignment vertical="center"/>
    </xf>
    <xf numFmtId="38" fontId="4" fillId="0" borderId="72" xfId="1" applyFont="1" applyFill="1" applyBorder="1" applyAlignment="1">
      <alignment vertical="center"/>
    </xf>
    <xf numFmtId="38" fontId="4" fillId="3" borderId="73" xfId="1" applyFont="1" applyFill="1" applyBorder="1" applyAlignment="1">
      <alignment vertical="center"/>
    </xf>
    <xf numFmtId="38" fontId="4" fillId="3" borderId="9" xfId="1" applyFont="1" applyFill="1" applyBorder="1" applyAlignment="1">
      <alignment vertical="center"/>
    </xf>
    <xf numFmtId="38" fontId="4" fillId="3" borderId="74" xfId="1" applyFont="1" applyFill="1" applyBorder="1" applyAlignment="1">
      <alignment vertical="center"/>
    </xf>
    <xf numFmtId="38" fontId="4" fillId="0" borderId="75" xfId="1" applyFont="1" applyFill="1" applyBorder="1" applyAlignment="1">
      <alignment vertical="center"/>
    </xf>
    <xf numFmtId="38" fontId="4" fillId="3" borderId="76" xfId="1" applyFont="1" applyFill="1" applyBorder="1" applyAlignment="1">
      <alignment vertical="center"/>
    </xf>
    <xf numFmtId="38" fontId="4" fillId="3" borderId="16" xfId="1" applyFont="1" applyFill="1" applyBorder="1" applyAlignment="1">
      <alignment vertical="center"/>
    </xf>
    <xf numFmtId="38" fontId="4" fillId="3" borderId="77" xfId="1" applyFont="1" applyFill="1" applyBorder="1" applyAlignment="1">
      <alignment vertical="center"/>
    </xf>
    <xf numFmtId="38" fontId="4" fillId="0" borderId="78" xfId="1" applyFont="1" applyFill="1" applyBorder="1" applyAlignment="1">
      <alignment vertical="center"/>
    </xf>
    <xf numFmtId="0" fontId="4" fillId="0" borderId="43" xfId="0" applyFont="1" applyFill="1" applyBorder="1" applyAlignment="1">
      <alignment vertical="center"/>
    </xf>
    <xf numFmtId="0" fontId="4" fillId="0" borderId="23" xfId="0" applyFont="1" applyFill="1" applyBorder="1" applyAlignment="1">
      <alignment vertical="center"/>
    </xf>
    <xf numFmtId="38" fontId="4" fillId="0" borderId="79" xfId="1" applyFont="1" applyFill="1" applyBorder="1" applyAlignment="1">
      <alignment vertical="center"/>
    </xf>
    <xf numFmtId="38" fontId="4" fillId="0" borderId="80" xfId="1" applyFont="1" applyFill="1" applyBorder="1" applyAlignment="1">
      <alignment vertical="center"/>
    </xf>
    <xf numFmtId="38" fontId="4" fillId="3" borderId="81" xfId="1" applyFont="1" applyFill="1" applyBorder="1" applyAlignment="1">
      <alignment vertical="center"/>
    </xf>
    <xf numFmtId="38" fontId="4" fillId="3" borderId="61" xfId="1" applyFont="1" applyFill="1" applyBorder="1" applyAlignment="1">
      <alignment vertical="center"/>
    </xf>
    <xf numFmtId="38" fontId="4" fillId="3" borderId="7" xfId="1" applyFont="1" applyFill="1" applyBorder="1" applyAlignment="1">
      <alignment vertical="center"/>
    </xf>
    <xf numFmtId="38" fontId="4" fillId="3" borderId="21" xfId="1" applyFont="1" applyFill="1" applyBorder="1" applyAlignment="1">
      <alignment vertical="center"/>
    </xf>
    <xf numFmtId="38" fontId="4" fillId="3" borderId="20" xfId="1" applyFont="1" applyFill="1" applyBorder="1" applyAlignment="1">
      <alignment vertical="center"/>
    </xf>
    <xf numFmtId="0" fontId="4" fillId="0" borderId="25"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16" fillId="0" borderId="0" xfId="0" applyFont="1" applyFill="1" applyBorder="1" applyAlignment="1">
      <alignment vertical="top"/>
    </xf>
    <xf numFmtId="0" fontId="16" fillId="0" borderId="0" xfId="0" applyFont="1" applyFill="1">
      <alignment vertical="center"/>
    </xf>
    <xf numFmtId="0" fontId="16" fillId="0" borderId="30" xfId="0" applyFont="1" applyFill="1" applyBorder="1" applyAlignment="1">
      <alignment vertical="top"/>
    </xf>
    <xf numFmtId="181" fontId="3" fillId="0" borderId="0" xfId="0" applyNumberFormat="1" applyFont="1" applyAlignment="1">
      <alignment horizontal="right" vertical="center"/>
    </xf>
    <xf numFmtId="177" fontId="1" fillId="0" borderId="0" xfId="3" applyNumberFormat="1" applyFont="1" applyFill="1" applyBorder="1" applyAlignment="1">
      <alignment horizontal="center" vertical="center"/>
    </xf>
    <xf numFmtId="0" fontId="1" fillId="0" borderId="0" xfId="3" applyNumberFormat="1" applyFont="1" applyFill="1" applyBorder="1" applyAlignment="1">
      <alignment horizontal="center" vertical="center"/>
    </xf>
    <xf numFmtId="0" fontId="1" fillId="0" borderId="0" xfId="3" applyNumberFormat="1" applyFont="1" applyFill="1" applyBorder="1" applyAlignment="1">
      <alignment vertical="center"/>
    </xf>
    <xf numFmtId="0" fontId="1" fillId="0" borderId="0" xfId="3" applyFont="1" applyFill="1" applyBorder="1" applyAlignment="1">
      <alignment horizontal="center" vertical="center" wrapText="1" justifyLastLine="1"/>
    </xf>
    <xf numFmtId="0" fontId="1" fillId="0" borderId="0" xfId="3" applyFont="1" applyFill="1" applyBorder="1" applyAlignment="1">
      <alignment horizontal="distributed" vertical="center" wrapText="1" justifyLastLine="1"/>
    </xf>
    <xf numFmtId="177" fontId="1" fillId="0" borderId="0" xfId="3" applyNumberFormat="1" applyFont="1" applyFill="1" applyBorder="1" applyAlignment="1">
      <alignment horizontal="center" vertical="center" shrinkToFit="1"/>
    </xf>
    <xf numFmtId="0" fontId="1" fillId="0" borderId="1" xfId="3" applyFont="1" applyFill="1" applyBorder="1" applyAlignment="1">
      <alignment vertical="center"/>
    </xf>
    <xf numFmtId="0" fontId="1" fillId="0" borderId="43" xfId="3" applyFont="1" applyFill="1" applyBorder="1" applyAlignment="1">
      <alignment vertical="center"/>
    </xf>
    <xf numFmtId="177" fontId="1" fillId="0" borderId="46" xfId="3" applyNumberFormat="1" applyFont="1" applyFill="1" applyBorder="1" applyAlignment="1">
      <alignment horizontal="right" vertical="center"/>
    </xf>
    <xf numFmtId="177" fontId="1" fillId="0" borderId="47" xfId="3" applyNumberFormat="1" applyFont="1" applyFill="1" applyBorder="1" applyAlignment="1">
      <alignment horizontal="right" vertical="center"/>
    </xf>
    <xf numFmtId="177" fontId="1" fillId="0" borderId="48" xfId="3" applyNumberFormat="1" applyFont="1" applyFill="1" applyBorder="1" applyAlignment="1">
      <alignment horizontal="right" vertical="center"/>
    </xf>
    <xf numFmtId="0" fontId="1" fillId="0" borderId="83" xfId="3" applyFont="1" applyFill="1" applyBorder="1" applyAlignment="1">
      <alignment vertical="center"/>
    </xf>
    <xf numFmtId="177" fontId="1" fillId="0" borderId="0" xfId="3" applyNumberFormat="1" applyFont="1" applyFill="1" applyBorder="1" applyAlignment="1">
      <alignment horizontal="right" vertical="center"/>
    </xf>
    <xf numFmtId="0" fontId="1" fillId="0" borderId="0" xfId="3" applyFont="1" applyFill="1" applyBorder="1" applyAlignment="1">
      <alignment horizontal="center" vertical="center"/>
    </xf>
    <xf numFmtId="38" fontId="4" fillId="3" borderId="85" xfId="1" applyFont="1" applyFill="1" applyBorder="1" applyAlignment="1">
      <alignment vertical="center"/>
    </xf>
    <xf numFmtId="0" fontId="11" fillId="0" borderId="0" xfId="0" applyFont="1" applyFill="1" applyBorder="1" applyAlignment="1">
      <alignment horizontal="right" vertical="top" wrapText="1"/>
    </xf>
    <xf numFmtId="0" fontId="4" fillId="0" borderId="0" xfId="0" applyFont="1" applyFill="1" applyBorder="1" applyAlignment="1">
      <alignment horizontal="right" vertical="top"/>
    </xf>
    <xf numFmtId="0" fontId="4" fillId="0" borderId="0" xfId="0" applyFont="1" applyBorder="1" applyAlignment="1">
      <alignment horizontal="right" vertical="center"/>
    </xf>
    <xf numFmtId="38" fontId="4" fillId="0" borderId="89" xfId="1" applyFont="1" applyFill="1" applyBorder="1" applyAlignment="1">
      <alignment vertical="center"/>
    </xf>
    <xf numFmtId="38" fontId="4" fillId="0" borderId="64" xfId="1" applyFont="1" applyFill="1" applyBorder="1" applyAlignment="1">
      <alignment vertical="center"/>
    </xf>
    <xf numFmtId="181" fontId="0" fillId="0" borderId="0" xfId="0" applyNumberFormat="1" applyBorder="1" applyAlignment="1">
      <alignment horizontal="center" vertical="center"/>
    </xf>
    <xf numFmtId="181" fontId="0" fillId="0" borderId="0" xfId="0" applyNumberFormat="1">
      <alignment vertical="center"/>
    </xf>
    <xf numFmtId="0" fontId="16" fillId="0" borderId="30" xfId="0" applyFont="1" applyFill="1" applyBorder="1">
      <alignment vertical="center"/>
    </xf>
    <xf numFmtId="0" fontId="3" fillId="0" borderId="0" xfId="0" applyFont="1" applyFill="1" applyBorder="1" applyAlignment="1">
      <alignment vertical="top"/>
    </xf>
    <xf numFmtId="38" fontId="4" fillId="3" borderId="89" xfId="1" applyFont="1" applyFill="1" applyBorder="1" applyAlignment="1">
      <alignment vertical="center"/>
    </xf>
    <xf numFmtId="38" fontId="4" fillId="3" borderId="91" xfId="1" applyFont="1" applyFill="1" applyBorder="1" applyAlignment="1">
      <alignment vertical="center"/>
    </xf>
    <xf numFmtId="177" fontId="1" fillId="0" borderId="93" xfId="3" applyNumberFormat="1" applyFont="1" applyFill="1" applyBorder="1" applyAlignment="1">
      <alignment horizontal="right" vertical="center"/>
    </xf>
    <xf numFmtId="0" fontId="0" fillId="0" borderId="0" xfId="0" applyFill="1">
      <alignment vertical="center"/>
    </xf>
    <xf numFmtId="0" fontId="10" fillId="0" borderId="0" xfId="0" applyFont="1" applyFill="1">
      <alignment vertical="center"/>
    </xf>
    <xf numFmtId="0" fontId="1" fillId="0" borderId="0" xfId="0" applyFont="1" applyBorder="1" applyAlignment="1">
      <alignment horizontal="right" vertical="center"/>
    </xf>
    <xf numFmtId="38" fontId="4" fillId="3" borderId="86" xfId="1" applyFont="1" applyFill="1" applyBorder="1" applyAlignment="1">
      <alignment vertical="center"/>
    </xf>
    <xf numFmtId="38" fontId="4" fillId="3" borderId="95" xfId="1" applyFont="1" applyFill="1" applyBorder="1" applyAlignment="1">
      <alignment vertical="center"/>
    </xf>
    <xf numFmtId="38" fontId="4" fillId="3" borderId="38" xfId="1" applyFont="1" applyFill="1" applyBorder="1" applyAlignment="1">
      <alignment vertical="center"/>
    </xf>
    <xf numFmtId="38" fontId="4" fillId="0" borderId="87" xfId="1" applyFont="1" applyFill="1" applyBorder="1" applyAlignment="1">
      <alignment vertical="center"/>
    </xf>
    <xf numFmtId="38" fontId="4" fillId="0" borderId="38" xfId="1" applyFont="1" applyFill="1" applyBorder="1" applyAlignment="1">
      <alignment vertical="center"/>
    </xf>
    <xf numFmtId="38" fontId="4" fillId="0" borderId="76" xfId="1" applyFont="1" applyFill="1" applyBorder="1" applyAlignment="1">
      <alignment vertical="center"/>
    </xf>
    <xf numFmtId="177" fontId="1" fillId="0" borderId="0" xfId="4" applyNumberFormat="1" applyFont="1" applyAlignment="1">
      <alignment vertical="center" shrinkToFit="1"/>
    </xf>
    <xf numFmtId="177" fontId="1" fillId="0" borderId="0" xfId="0" applyNumberFormat="1" applyFont="1" applyAlignment="1">
      <alignment vertical="center" shrinkToFit="1"/>
    </xf>
    <xf numFmtId="0" fontId="1" fillId="0" borderId="0" xfId="4" applyFont="1" applyAlignment="1">
      <alignment vertical="center"/>
    </xf>
    <xf numFmtId="38" fontId="4" fillId="0" borderId="63" xfId="1" applyFont="1" applyFill="1" applyBorder="1" applyAlignment="1">
      <alignment vertical="center"/>
    </xf>
    <xf numFmtId="38" fontId="4" fillId="0" borderId="81" xfId="1" applyFont="1" applyFill="1" applyBorder="1" applyAlignment="1">
      <alignment vertical="center"/>
    </xf>
    <xf numFmtId="38" fontId="4" fillId="0" borderId="96" xfId="1" applyFont="1" applyFill="1" applyBorder="1" applyAlignment="1">
      <alignment vertical="center"/>
    </xf>
    <xf numFmtId="38" fontId="4" fillId="0" borderId="70" xfId="1" applyFont="1" applyFill="1" applyBorder="1" applyAlignment="1">
      <alignment vertical="center"/>
    </xf>
    <xf numFmtId="38" fontId="4" fillId="0" borderId="73" xfId="1" applyFont="1" applyFill="1" applyBorder="1" applyAlignment="1">
      <alignment vertical="center"/>
    </xf>
    <xf numFmtId="38" fontId="4" fillId="3" borderId="98" xfId="1" applyFont="1" applyFill="1" applyBorder="1" applyAlignment="1">
      <alignment vertical="center"/>
    </xf>
    <xf numFmtId="38" fontId="4" fillId="3" borderId="52" xfId="1" applyFont="1" applyFill="1" applyBorder="1" applyAlignment="1">
      <alignment vertical="center"/>
    </xf>
    <xf numFmtId="38" fontId="4" fillId="3" borderId="99" xfId="1" applyFont="1" applyFill="1" applyBorder="1" applyAlignment="1">
      <alignment vertical="center"/>
    </xf>
    <xf numFmtId="38" fontId="4" fillId="0" borderId="86" xfId="1" applyFont="1" applyFill="1" applyBorder="1" applyAlignment="1">
      <alignment vertical="center"/>
    </xf>
    <xf numFmtId="38" fontId="4" fillId="0" borderId="101" xfId="1" applyFont="1" applyFill="1" applyBorder="1" applyAlignment="1">
      <alignment vertical="center"/>
    </xf>
    <xf numFmtId="38" fontId="4" fillId="0" borderId="103" xfId="1" applyFont="1" applyFill="1" applyBorder="1" applyAlignment="1">
      <alignment vertical="center"/>
    </xf>
    <xf numFmtId="38" fontId="4" fillId="0" borderId="94" xfId="1" applyFont="1" applyFill="1" applyBorder="1" applyAlignment="1">
      <alignment vertical="center"/>
    </xf>
    <xf numFmtId="182" fontId="1" fillId="0" borderId="104" xfId="0" applyNumberFormat="1" applyFont="1" applyFill="1" applyBorder="1" applyAlignment="1">
      <alignment horizontal="center" vertical="center" wrapText="1"/>
    </xf>
    <xf numFmtId="38" fontId="4" fillId="0" borderId="105" xfId="1" applyFont="1" applyFill="1" applyBorder="1" applyAlignment="1">
      <alignment vertical="center"/>
    </xf>
    <xf numFmtId="38" fontId="4" fillId="0" borderId="106" xfId="1" applyFont="1" applyFill="1" applyBorder="1" applyAlignment="1">
      <alignment vertical="center"/>
    </xf>
    <xf numFmtId="38" fontId="4" fillId="0" borderId="107" xfId="1" applyFont="1" applyFill="1" applyBorder="1" applyAlignment="1">
      <alignment vertical="center"/>
    </xf>
    <xf numFmtId="38" fontId="4" fillId="0" borderId="108" xfId="1" applyFont="1" applyFill="1" applyBorder="1" applyAlignment="1">
      <alignment vertical="center"/>
    </xf>
    <xf numFmtId="38" fontId="4" fillId="0" borderId="109" xfId="1" applyFont="1" applyFill="1" applyBorder="1" applyAlignment="1">
      <alignment vertical="center"/>
    </xf>
    <xf numFmtId="38" fontId="4" fillId="0" borderId="85" xfId="1" applyFont="1" applyFill="1" applyBorder="1" applyAlignment="1">
      <alignment vertical="center"/>
    </xf>
    <xf numFmtId="38" fontId="4" fillId="0" borderId="91" xfId="1" applyFont="1" applyFill="1" applyBorder="1" applyAlignment="1">
      <alignment vertical="center"/>
    </xf>
    <xf numFmtId="38" fontId="4" fillId="0" borderId="110" xfId="1" applyFont="1" applyFill="1" applyBorder="1" applyAlignment="1">
      <alignment vertical="center"/>
    </xf>
    <xf numFmtId="38" fontId="4" fillId="0" borderId="111" xfId="1" applyFont="1" applyFill="1" applyBorder="1" applyAlignment="1">
      <alignment vertical="center"/>
    </xf>
    <xf numFmtId="0" fontId="4" fillId="0" borderId="1" xfId="0" applyFont="1" applyFill="1" applyBorder="1" applyAlignment="1">
      <alignment vertical="center"/>
    </xf>
    <xf numFmtId="38" fontId="4" fillId="3" borderId="113" xfId="1" applyFont="1" applyFill="1" applyBorder="1" applyAlignment="1">
      <alignment vertical="center"/>
    </xf>
    <xf numFmtId="38" fontId="4" fillId="3" borderId="0" xfId="1" applyFont="1" applyFill="1" applyBorder="1" applyAlignment="1">
      <alignment vertical="center"/>
    </xf>
    <xf numFmtId="38" fontId="4" fillId="3" borderId="93" xfId="1" applyFont="1" applyFill="1" applyBorder="1" applyAlignment="1">
      <alignment vertical="center"/>
    </xf>
    <xf numFmtId="38" fontId="4" fillId="0" borderId="97" xfId="1" applyFont="1" applyFill="1" applyBorder="1" applyAlignment="1">
      <alignment vertical="center"/>
    </xf>
    <xf numFmtId="38" fontId="4" fillId="0" borderId="47" xfId="1" applyFont="1" applyFill="1" applyBorder="1" applyAlignment="1">
      <alignment vertical="center"/>
    </xf>
    <xf numFmtId="38" fontId="4" fillId="0" borderId="93" xfId="1" applyFont="1" applyFill="1" applyBorder="1" applyAlignment="1">
      <alignment vertical="center"/>
    </xf>
    <xf numFmtId="38" fontId="4" fillId="0" borderId="114" xfId="1" applyFont="1" applyFill="1" applyBorder="1" applyAlignment="1">
      <alignment vertical="center"/>
    </xf>
    <xf numFmtId="38" fontId="4" fillId="3" borderId="22" xfId="1" applyFont="1" applyFill="1" applyBorder="1" applyAlignment="1">
      <alignment vertical="center"/>
    </xf>
    <xf numFmtId="38" fontId="4" fillId="3" borderId="94" xfId="1" applyFont="1" applyFill="1" applyBorder="1" applyAlignment="1">
      <alignment vertical="center"/>
    </xf>
    <xf numFmtId="0" fontId="3" fillId="0" borderId="0" xfId="0" applyFont="1" applyBorder="1" applyAlignment="1">
      <alignment horizontal="right" vertical="center"/>
    </xf>
    <xf numFmtId="0" fontId="19" fillId="0" borderId="0" xfId="0" applyFont="1">
      <alignment vertical="center"/>
    </xf>
    <xf numFmtId="182" fontId="1" fillId="3" borderId="131" xfId="0" applyNumberFormat="1" applyFont="1" applyFill="1" applyBorder="1" applyAlignment="1">
      <alignment horizontal="center" vertical="center" shrinkToFit="1"/>
    </xf>
    <xf numFmtId="182" fontId="1" fillId="3" borderId="55" xfId="0" applyNumberFormat="1" applyFont="1" applyFill="1" applyBorder="1" applyAlignment="1">
      <alignment horizontal="center" vertical="center" shrinkToFit="1"/>
    </xf>
    <xf numFmtId="182" fontId="1" fillId="3" borderId="132" xfId="0" applyNumberFormat="1" applyFont="1" applyFill="1" applyBorder="1" applyAlignment="1">
      <alignment horizontal="center" vertical="center" shrinkToFit="1"/>
    </xf>
    <xf numFmtId="182" fontId="1" fillId="0" borderId="63" xfId="0" applyNumberFormat="1" applyFont="1" applyFill="1" applyBorder="1" applyAlignment="1">
      <alignment horizontal="center" vertical="center" shrinkToFit="1"/>
    </xf>
    <xf numFmtId="182" fontId="1" fillId="0" borderId="5" xfId="0" applyNumberFormat="1" applyFont="1" applyFill="1" applyBorder="1" applyAlignment="1">
      <alignment horizontal="center" vertical="center" shrinkToFit="1"/>
    </xf>
    <xf numFmtId="182" fontId="1" fillId="0" borderId="64" xfId="0" applyNumberFormat="1" applyFont="1" applyFill="1" applyBorder="1" applyAlignment="1">
      <alignment horizontal="center" vertical="center" shrinkToFit="1"/>
    </xf>
    <xf numFmtId="182" fontId="1" fillId="0" borderId="6" xfId="0" applyNumberFormat="1" applyFont="1" applyFill="1" applyBorder="1" applyAlignment="1">
      <alignment horizontal="center" vertical="center" shrinkToFit="1"/>
    </xf>
    <xf numFmtId="38" fontId="4" fillId="3" borderId="133" xfId="1" applyFont="1" applyFill="1" applyBorder="1" applyAlignment="1">
      <alignment vertical="center"/>
    </xf>
    <xf numFmtId="38" fontId="4" fillId="0" borderId="98" xfId="1" applyFont="1" applyFill="1" applyBorder="1" applyAlignment="1">
      <alignment vertical="center"/>
    </xf>
    <xf numFmtId="38" fontId="4" fillId="0" borderId="82" xfId="1" applyFont="1" applyFill="1" applyBorder="1" applyAlignment="1">
      <alignment vertical="center"/>
    </xf>
    <xf numFmtId="0" fontId="13" fillId="0" borderId="0" xfId="0" applyFont="1">
      <alignment vertical="center"/>
    </xf>
    <xf numFmtId="176" fontId="4" fillId="2" borderId="23" xfId="0" applyNumberFormat="1" applyFont="1" applyFill="1" applyBorder="1" applyAlignment="1">
      <alignment horizontal="center" vertical="center"/>
    </xf>
    <xf numFmtId="176" fontId="4" fillId="2" borderId="31" xfId="0" applyNumberFormat="1" applyFont="1" applyFill="1" applyBorder="1" applyAlignment="1">
      <alignment horizontal="center" vertical="center"/>
    </xf>
    <xf numFmtId="176" fontId="4" fillId="2" borderId="24" xfId="0" applyNumberFormat="1" applyFont="1" applyFill="1" applyBorder="1" applyAlignment="1">
      <alignment horizontal="center" vertical="center"/>
    </xf>
    <xf numFmtId="0" fontId="6" fillId="0" borderId="2" xfId="0" applyFont="1" applyFill="1" applyBorder="1" applyAlignment="1">
      <alignment horizontal="center" vertical="center"/>
    </xf>
    <xf numFmtId="181" fontId="6" fillId="0" borderId="0" xfId="0" applyNumberFormat="1" applyFont="1" applyFill="1" applyAlignment="1">
      <alignment horizontal="right" vertical="center"/>
    </xf>
    <xf numFmtId="0" fontId="1" fillId="0" borderId="0" xfId="3" applyFont="1" applyFill="1" applyBorder="1" applyAlignment="1">
      <alignment vertical="center"/>
    </xf>
    <xf numFmtId="0" fontId="1" fillId="0" borderId="61" xfId="3" applyFont="1" applyFill="1" applyBorder="1" applyAlignment="1">
      <alignment vertical="center"/>
    </xf>
    <xf numFmtId="0" fontId="1" fillId="0" borderId="25" xfId="3" applyFont="1" applyFill="1" applyBorder="1" applyAlignment="1">
      <alignment vertical="center"/>
    </xf>
    <xf numFmtId="0" fontId="1" fillId="0" borderId="0" xfId="2" applyFont="1" applyFill="1" applyBorder="1" applyAlignment="1">
      <alignment vertical="center"/>
    </xf>
    <xf numFmtId="177" fontId="1" fillId="0" borderId="0" xfId="2" applyNumberFormat="1" applyFont="1" applyFill="1" applyBorder="1" applyAlignment="1">
      <alignment horizontal="right" vertical="center"/>
    </xf>
    <xf numFmtId="0" fontId="1" fillId="0" borderId="0" xfId="2" applyNumberFormat="1" applyFont="1" applyFill="1" applyBorder="1" applyAlignment="1">
      <alignment vertical="center"/>
    </xf>
    <xf numFmtId="0" fontId="1" fillId="0" borderId="43" xfId="2" applyFont="1" applyFill="1" applyBorder="1" applyAlignment="1">
      <alignment vertical="center"/>
    </xf>
    <xf numFmtId="0" fontId="1" fillId="0" borderId="31" xfId="2" applyFont="1" applyFill="1" applyBorder="1" applyAlignment="1">
      <alignment vertical="center"/>
    </xf>
    <xf numFmtId="0" fontId="1" fillId="0" borderId="23" xfId="2" applyFont="1" applyFill="1" applyBorder="1" applyAlignment="1">
      <alignment vertical="center"/>
    </xf>
    <xf numFmtId="0" fontId="0" fillId="0" borderId="3" xfId="0" applyFill="1" applyBorder="1" applyAlignment="1">
      <alignment horizontal="center" vertical="center" textRotation="255"/>
    </xf>
    <xf numFmtId="0" fontId="1" fillId="0" borderId="19" xfId="2" applyFont="1" applyFill="1" applyBorder="1" applyAlignment="1">
      <alignment vertical="center"/>
    </xf>
    <xf numFmtId="0" fontId="0" fillId="0" borderId="3" xfId="0" applyFill="1" applyBorder="1" applyAlignment="1">
      <alignment vertical="center" textRotation="255"/>
    </xf>
    <xf numFmtId="0" fontId="0" fillId="0" borderId="50" xfId="0" applyFill="1" applyBorder="1" applyAlignment="1">
      <alignment horizontal="center" vertical="center" textRotation="255"/>
    </xf>
    <xf numFmtId="0" fontId="1" fillId="0" borderId="0" xfId="2" applyFont="1" applyFill="1" applyBorder="1" applyAlignment="1">
      <alignment horizontal="distributed" vertical="center" wrapText="1" justifyLastLine="1"/>
    </xf>
    <xf numFmtId="0" fontId="1" fillId="0" borderId="3" xfId="2" applyFont="1" applyFill="1" applyBorder="1" applyAlignment="1">
      <alignment vertical="center"/>
    </xf>
    <xf numFmtId="0" fontId="0" fillId="0" borderId="164" xfId="0" applyFill="1" applyBorder="1" applyAlignment="1">
      <alignment horizontal="center" vertical="center" textRotation="255"/>
    </xf>
    <xf numFmtId="0" fontId="0" fillId="0" borderId="165" xfId="0" applyFill="1" applyBorder="1" applyAlignment="1">
      <alignment horizontal="center" vertical="center" textRotation="255"/>
    </xf>
    <xf numFmtId="177" fontId="1" fillId="0" borderId="152" xfId="3" applyNumberFormat="1" applyFont="1" applyFill="1" applyBorder="1" applyAlignment="1">
      <alignment horizontal="right" vertical="center"/>
    </xf>
    <xf numFmtId="177" fontId="1" fillId="0" borderId="40" xfId="3" applyNumberFormat="1" applyFont="1" applyFill="1" applyBorder="1" applyAlignment="1">
      <alignment horizontal="right" vertical="center"/>
    </xf>
    <xf numFmtId="177" fontId="1" fillId="0" borderId="162" xfId="3" applyNumberFormat="1" applyFont="1" applyFill="1" applyBorder="1" applyAlignment="1">
      <alignment horizontal="right" vertical="center"/>
    </xf>
    <xf numFmtId="38" fontId="1" fillId="0" borderId="11" xfId="1" applyFont="1" applyFill="1" applyBorder="1" applyAlignment="1">
      <alignment vertical="center"/>
    </xf>
    <xf numFmtId="38" fontId="1" fillId="0" borderId="9" xfId="1" applyFont="1" applyFill="1" applyBorder="1" applyAlignment="1">
      <alignment vertical="center"/>
    </xf>
    <xf numFmtId="38" fontId="1" fillId="0" borderId="10" xfId="1" applyFont="1" applyFill="1" applyBorder="1" applyAlignment="1">
      <alignment vertical="center"/>
    </xf>
    <xf numFmtId="38" fontId="1" fillId="0" borderId="8" xfId="1" applyFont="1" applyFill="1" applyBorder="1" applyAlignment="1">
      <alignment vertical="center"/>
    </xf>
    <xf numFmtId="38" fontId="1" fillId="0" borderId="37" xfId="1" applyFont="1" applyFill="1" applyBorder="1" applyAlignment="1">
      <alignment vertical="center"/>
    </xf>
    <xf numFmtId="38" fontId="1" fillId="0" borderId="38" xfId="1" applyFont="1" applyFill="1" applyBorder="1" applyAlignment="1">
      <alignment vertical="center"/>
    </xf>
    <xf numFmtId="38" fontId="1" fillId="0" borderId="39" xfId="1" applyFont="1" applyFill="1" applyBorder="1" applyAlignment="1">
      <alignment vertical="center"/>
    </xf>
    <xf numFmtId="0" fontId="1" fillId="0" borderId="3" xfId="3" applyNumberFormat="1" applyFont="1" applyFill="1" applyBorder="1" applyAlignment="1">
      <alignment vertical="center"/>
    </xf>
    <xf numFmtId="0" fontId="1" fillId="0" borderId="24" xfId="3" applyFont="1" applyFill="1" applyBorder="1" applyAlignment="1">
      <alignment vertical="center"/>
    </xf>
    <xf numFmtId="0" fontId="1" fillId="0" borderId="61" xfId="3" applyFont="1" applyFill="1" applyBorder="1" applyAlignment="1">
      <alignment horizontal="distributed" vertical="center" wrapText="1" justifyLastLine="1"/>
    </xf>
    <xf numFmtId="0" fontId="21" fillId="0" borderId="0" xfId="3" applyFont="1" applyFill="1" applyBorder="1" applyAlignment="1">
      <alignment horizontal="distributed" vertical="center" wrapText="1" justifyLastLine="1"/>
    </xf>
    <xf numFmtId="0" fontId="21" fillId="0" borderId="95" xfId="3" applyFont="1" applyFill="1" applyBorder="1" applyAlignment="1">
      <alignment horizontal="distributed" vertical="center" wrapText="1" justifyLastLine="1"/>
    </xf>
    <xf numFmtId="0" fontId="1" fillId="0" borderId="176" xfId="3" applyFont="1" applyFill="1" applyBorder="1" applyAlignment="1">
      <alignment horizontal="distributed" vertical="center" wrapText="1" justifyLastLine="1"/>
    </xf>
    <xf numFmtId="0" fontId="1" fillId="0" borderId="90" xfId="3" applyFont="1" applyFill="1" applyBorder="1" applyAlignment="1">
      <alignment horizontal="distributed" vertical="center" wrapText="1" justifyLastLine="1"/>
    </xf>
    <xf numFmtId="0" fontId="21" fillId="0" borderId="22" xfId="3" applyFont="1" applyFill="1" applyBorder="1" applyAlignment="1">
      <alignment horizontal="distributed" vertical="center" wrapText="1" justifyLastLine="1"/>
    </xf>
    <xf numFmtId="177" fontId="1" fillId="0" borderId="42" xfId="3" applyNumberFormat="1" applyFont="1" applyFill="1" applyBorder="1" applyAlignment="1">
      <alignment horizontal="right" vertical="center"/>
    </xf>
    <xf numFmtId="0" fontId="1" fillId="0" borderId="41" xfId="3" applyFont="1" applyFill="1" applyBorder="1" applyAlignment="1">
      <alignment horizontal="distributed" vertical="center" wrapText="1" justifyLastLine="1"/>
    </xf>
    <xf numFmtId="0" fontId="1" fillId="0" borderId="42" xfId="3" applyFont="1" applyFill="1" applyBorder="1" applyAlignment="1">
      <alignment horizontal="distributed" vertical="center" wrapText="1" justifyLastLine="1"/>
    </xf>
    <xf numFmtId="0" fontId="21" fillId="0" borderId="53" xfId="3" applyFont="1" applyFill="1" applyBorder="1" applyAlignment="1">
      <alignment horizontal="distributed" vertical="center" wrapText="1" justifyLastLine="1"/>
    </xf>
    <xf numFmtId="0" fontId="1" fillId="0" borderId="165" xfId="3" applyFont="1" applyFill="1" applyBorder="1" applyAlignment="1">
      <alignment horizontal="distributed" vertical="center" wrapText="1" justifyLastLine="1"/>
    </xf>
    <xf numFmtId="0" fontId="1" fillId="0" borderId="145" xfId="3" applyFont="1" applyFill="1" applyBorder="1" applyAlignment="1">
      <alignment horizontal="distributed" vertical="center" wrapText="1" justifyLastLine="1"/>
    </xf>
    <xf numFmtId="0" fontId="21" fillId="0" borderId="168" xfId="3" applyFont="1" applyFill="1" applyBorder="1" applyAlignment="1">
      <alignment horizontal="distributed" vertical="center" wrapText="1" justifyLastLine="1"/>
    </xf>
    <xf numFmtId="0" fontId="8" fillId="0" borderId="3" xfId="0" applyFont="1" applyFill="1" applyBorder="1" applyAlignment="1">
      <alignment horizontal="center" vertical="center"/>
    </xf>
    <xf numFmtId="0" fontId="21" fillId="0" borderId="90" xfId="3" applyFont="1" applyFill="1" applyBorder="1" applyAlignment="1">
      <alignment horizontal="distributed" vertical="center" wrapText="1" justifyLastLine="1"/>
    </xf>
    <xf numFmtId="0" fontId="21" fillId="0" borderId="61" xfId="3" applyFont="1" applyFill="1" applyBorder="1" applyAlignment="1">
      <alignment horizontal="distributed" vertical="center" wrapText="1" justifyLastLine="1"/>
    </xf>
    <xf numFmtId="0" fontId="1" fillId="0" borderId="0" xfId="3" applyFont="1" applyFill="1" applyBorder="1" applyAlignment="1">
      <alignment vertical="center"/>
    </xf>
    <xf numFmtId="0" fontId="21" fillId="0" borderId="42" xfId="3" applyFont="1" applyFill="1" applyBorder="1" applyAlignment="1">
      <alignment horizontal="distributed" vertical="center" wrapText="1" justifyLastLine="1"/>
    </xf>
    <xf numFmtId="0" fontId="0" fillId="0" borderId="19" xfId="2" applyFont="1" applyFill="1" applyBorder="1" applyAlignment="1">
      <alignment horizontal="distributed" vertical="center"/>
    </xf>
    <xf numFmtId="0" fontId="12" fillId="0" borderId="0" xfId="0" applyFont="1" applyFill="1" applyBorder="1" applyAlignment="1">
      <alignment vertical="center"/>
    </xf>
    <xf numFmtId="0" fontId="12" fillId="0" borderId="30" xfId="0" applyFont="1" applyFill="1" applyBorder="1" applyAlignment="1">
      <alignment vertical="center"/>
    </xf>
    <xf numFmtId="0" fontId="4" fillId="0" borderId="0" xfId="0" applyFont="1" applyFill="1" applyBorder="1" applyAlignment="1">
      <alignment horizontal="right" vertical="center"/>
    </xf>
    <xf numFmtId="0" fontId="3" fillId="0" borderId="0" xfId="0" applyFont="1" applyFill="1" applyBorder="1" applyAlignment="1">
      <alignment horizontal="right" vertical="center"/>
    </xf>
    <xf numFmtId="0" fontId="4" fillId="0" borderId="22"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right" vertical="top" wrapText="1"/>
    </xf>
    <xf numFmtId="0" fontId="11" fillId="0" borderId="30" xfId="0" applyFont="1" applyFill="1" applyBorder="1" applyAlignment="1">
      <alignment vertical="top"/>
    </xf>
    <xf numFmtId="0" fontId="11" fillId="0" borderId="30" xfId="0" applyFont="1" applyFill="1" applyBorder="1" applyAlignment="1">
      <alignment vertical="center"/>
    </xf>
    <xf numFmtId="0" fontId="16" fillId="0" borderId="0" xfId="0" applyFont="1" applyFill="1" applyBorder="1" applyAlignment="1">
      <alignment vertical="center"/>
    </xf>
    <xf numFmtId="0" fontId="16" fillId="0" borderId="30" xfId="0" applyFont="1" applyFill="1" applyBorder="1" applyAlignment="1">
      <alignment vertical="center"/>
    </xf>
    <xf numFmtId="0" fontId="3" fillId="0" borderId="0" xfId="0" applyFont="1" applyFill="1" applyBorder="1" applyAlignment="1">
      <alignment horizontal="right" vertical="center"/>
    </xf>
    <xf numFmtId="0" fontId="4" fillId="0" borderId="34" xfId="0" applyFont="1" applyFill="1" applyBorder="1" applyAlignment="1">
      <alignment horizontal="left" vertical="center"/>
    </xf>
    <xf numFmtId="0" fontId="4" fillId="0" borderId="35" xfId="0" applyFont="1" applyFill="1" applyBorder="1" applyAlignment="1">
      <alignment horizontal="left" vertical="center"/>
    </xf>
    <xf numFmtId="0" fontId="4" fillId="0" borderId="36" xfId="0" applyFont="1" applyFill="1" applyBorder="1" applyAlignment="1">
      <alignment horizontal="left" vertical="center"/>
    </xf>
    <xf numFmtId="0" fontId="4" fillId="0" borderId="19" xfId="0" applyFont="1" applyFill="1" applyBorder="1" applyAlignment="1">
      <alignment horizontal="center" vertical="center"/>
    </xf>
    <xf numFmtId="177" fontId="1" fillId="0" borderId="90" xfId="3" applyNumberFormat="1" applyFont="1" applyFill="1" applyBorder="1" applyAlignment="1">
      <alignment horizontal="right" vertical="center"/>
    </xf>
    <xf numFmtId="0" fontId="20" fillId="0" borderId="31" xfId="2" applyFont="1" applyFill="1" applyBorder="1" applyAlignment="1">
      <alignment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6" fillId="0" borderId="0" xfId="0" applyFont="1" applyFill="1" applyAlignment="1"/>
    <xf numFmtId="0" fontId="0" fillId="0" borderId="2" xfId="0"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right" vertical="center"/>
    </xf>
    <xf numFmtId="0" fontId="1" fillId="0" borderId="0" xfId="0" applyFont="1" applyFill="1" applyBorder="1" applyAlignment="1">
      <alignment vertical="top"/>
    </xf>
    <xf numFmtId="0" fontId="1" fillId="0" borderId="0" xfId="0" applyFont="1" applyFill="1" applyBorder="1" applyAlignment="1">
      <alignment vertical="center"/>
    </xf>
    <xf numFmtId="177" fontId="1" fillId="0" borderId="0" xfId="2" applyNumberFormat="1" applyFont="1" applyFill="1" applyBorder="1" applyAlignment="1">
      <alignment horizontal="center" vertical="center"/>
    </xf>
    <xf numFmtId="0" fontId="1" fillId="0" borderId="41" xfId="2" applyNumberFormat="1" applyFont="1" applyFill="1" applyBorder="1" applyAlignment="1">
      <alignment vertical="center"/>
    </xf>
    <xf numFmtId="0" fontId="1" fillId="0" borderId="159" xfId="2" applyFont="1" applyFill="1" applyBorder="1" applyAlignment="1">
      <alignment vertical="center"/>
    </xf>
    <xf numFmtId="0" fontId="18" fillId="0" borderId="0" xfId="0" applyFont="1" applyFill="1">
      <alignment vertical="center"/>
    </xf>
    <xf numFmtId="0" fontId="19" fillId="0" borderId="0" xfId="0" applyFont="1" applyFill="1">
      <alignment vertical="center"/>
    </xf>
    <xf numFmtId="49" fontId="4" fillId="0" borderId="0" xfId="0" applyNumberFormat="1" applyFont="1" applyFill="1" applyAlignment="1">
      <alignment horizontal="right" vertical="center"/>
    </xf>
    <xf numFmtId="0" fontId="13" fillId="0" borderId="0" xfId="0" applyFont="1" applyFill="1">
      <alignment vertical="center"/>
    </xf>
    <xf numFmtId="0" fontId="13" fillId="0" borderId="19" xfId="0" applyFont="1" applyFill="1" applyBorder="1" applyAlignment="1">
      <alignment horizontal="center" vertical="center"/>
    </xf>
    <xf numFmtId="0" fontId="13" fillId="0" borderId="40" xfId="0" applyFont="1" applyFill="1" applyBorder="1" applyAlignment="1">
      <alignment horizontal="center" vertical="center"/>
    </xf>
    <xf numFmtId="0" fontId="0" fillId="0" borderId="1" xfId="0" applyFont="1" applyFill="1" applyBorder="1" applyAlignment="1">
      <alignment vertical="center" shrinkToFit="1"/>
    </xf>
    <xf numFmtId="0" fontId="13" fillId="0" borderId="0" xfId="0" applyFont="1" applyFill="1" applyBorder="1" applyAlignment="1">
      <alignment horizontal="center" vertical="center" shrinkToFit="1"/>
    </xf>
    <xf numFmtId="0" fontId="13" fillId="0" borderId="134" xfId="0" applyFont="1" applyFill="1" applyBorder="1" applyAlignment="1">
      <alignment vertical="center" shrinkToFit="1"/>
    </xf>
    <xf numFmtId="0" fontId="13" fillId="0" borderId="49" xfId="0" applyFont="1" applyFill="1" applyBorder="1" applyAlignment="1">
      <alignment vertical="center" shrinkToFit="1"/>
    </xf>
    <xf numFmtId="0" fontId="13" fillId="0" borderId="30" xfId="0" applyFont="1" applyFill="1" applyBorder="1" applyAlignment="1">
      <alignment horizontal="center" vertical="center" shrinkToFit="1"/>
    </xf>
    <xf numFmtId="0" fontId="13" fillId="0" borderId="135" xfId="0" applyFont="1" applyFill="1" applyBorder="1" applyAlignment="1">
      <alignment vertical="center" shrinkToFit="1"/>
    </xf>
    <xf numFmtId="0" fontId="13" fillId="0" borderId="1" xfId="0" applyFont="1" applyFill="1" applyBorder="1" applyAlignment="1">
      <alignment vertical="center" shrinkToFit="1"/>
    </xf>
    <xf numFmtId="49" fontId="4" fillId="0" borderId="0" xfId="0" applyNumberFormat="1" applyFont="1" applyFill="1" applyAlignment="1">
      <alignment horizontal="right" vertical="top"/>
    </xf>
    <xf numFmtId="49" fontId="4" fillId="0" borderId="0" xfId="0" applyNumberFormat="1" applyFont="1" applyFill="1" applyAlignment="1">
      <alignment horizontal="right" vertical="top" wrapText="1"/>
    </xf>
    <xf numFmtId="49" fontId="19" fillId="0" borderId="0" xfId="0" applyNumberFormat="1" applyFont="1" applyFill="1" applyAlignment="1">
      <alignment horizontal="right" vertical="center"/>
    </xf>
    <xf numFmtId="0" fontId="19" fillId="0" borderId="0" xfId="0" applyFont="1" applyFill="1" applyAlignment="1">
      <alignment vertical="center" wrapText="1"/>
    </xf>
    <xf numFmtId="0" fontId="17" fillId="0" borderId="0" xfId="0" applyFont="1" applyFill="1">
      <alignment vertical="center"/>
    </xf>
    <xf numFmtId="0" fontId="19" fillId="0" borderId="2" xfId="0" applyFont="1" applyFill="1" applyBorder="1">
      <alignment vertical="center"/>
    </xf>
    <xf numFmtId="49" fontId="19" fillId="0" borderId="2" xfId="0" applyNumberFormat="1" applyFont="1" applyFill="1" applyBorder="1" applyAlignment="1">
      <alignment horizontal="right" vertical="center"/>
    </xf>
    <xf numFmtId="0" fontId="19" fillId="0" borderId="2" xfId="0" applyFont="1" applyFill="1" applyBorder="1" applyAlignment="1">
      <alignment vertical="center" wrapText="1"/>
    </xf>
    <xf numFmtId="0" fontId="0" fillId="0" borderId="2" xfId="0" applyFont="1" applyFill="1" applyBorder="1">
      <alignment vertical="center"/>
    </xf>
    <xf numFmtId="0" fontId="0" fillId="0" borderId="2" xfId="0" applyFont="1" applyFill="1" applyBorder="1" applyAlignment="1">
      <alignment vertical="center" wrapText="1"/>
    </xf>
    <xf numFmtId="38" fontId="4" fillId="0" borderId="68" xfId="1" applyFont="1" applyFill="1" applyBorder="1" applyAlignment="1">
      <alignment vertical="center"/>
    </xf>
    <xf numFmtId="0" fontId="1" fillId="4" borderId="30" xfId="2" applyFont="1" applyFill="1" applyBorder="1" applyAlignment="1">
      <alignment vertical="center"/>
    </xf>
    <xf numFmtId="0" fontId="1" fillId="4" borderId="19" xfId="2" applyFont="1" applyFill="1" applyBorder="1" applyAlignment="1">
      <alignment vertical="center"/>
    </xf>
    <xf numFmtId="0" fontId="21" fillId="4" borderId="0" xfId="3" applyFont="1" applyFill="1" applyBorder="1" applyAlignment="1">
      <alignment horizontal="distributed" vertical="center" wrapText="1" justifyLastLine="1"/>
    </xf>
    <xf numFmtId="0" fontId="1" fillId="4" borderId="1" xfId="3" applyFont="1" applyFill="1" applyBorder="1" applyAlignment="1">
      <alignment vertical="center"/>
    </xf>
    <xf numFmtId="0" fontId="1" fillId="4" borderId="0" xfId="3" applyFont="1" applyFill="1" applyBorder="1" applyAlignment="1">
      <alignment vertical="center"/>
    </xf>
    <xf numFmtId="0" fontId="1" fillId="0" borderId="3" xfId="3" applyFont="1" applyFill="1" applyBorder="1" applyAlignment="1">
      <alignment horizontal="distributed" vertical="center" wrapText="1" justifyLastLine="1"/>
    </xf>
    <xf numFmtId="0" fontId="1" fillId="0" borderId="19" xfId="3" applyFont="1" applyFill="1" applyBorder="1" applyAlignment="1">
      <alignment horizontal="distributed" vertical="center" wrapText="1" justifyLastLine="1"/>
    </xf>
    <xf numFmtId="0" fontId="21" fillId="0" borderId="19" xfId="3" applyFont="1" applyFill="1" applyBorder="1" applyAlignment="1">
      <alignment horizontal="distributed" vertical="center" wrapText="1" justifyLastLine="1"/>
    </xf>
    <xf numFmtId="38" fontId="1" fillId="0" borderId="29" xfId="1" applyFont="1" applyFill="1" applyBorder="1" applyAlignment="1">
      <alignment vertical="center"/>
    </xf>
    <xf numFmtId="38" fontId="1" fillId="0" borderId="13" xfId="1" applyFont="1" applyFill="1" applyBorder="1" applyAlignment="1">
      <alignment vertical="center"/>
    </xf>
    <xf numFmtId="38" fontId="1" fillId="0" borderId="14" xfId="1" applyFont="1" applyFill="1" applyBorder="1" applyAlignment="1">
      <alignment vertical="center"/>
    </xf>
    <xf numFmtId="0" fontId="1" fillId="0" borderId="191" xfId="2" applyFont="1" applyFill="1" applyBorder="1" applyAlignment="1">
      <alignment vertical="center"/>
    </xf>
    <xf numFmtId="38" fontId="1" fillId="0" borderId="12" xfId="1" applyFont="1" applyFill="1" applyBorder="1" applyAlignment="1">
      <alignment vertical="center"/>
    </xf>
    <xf numFmtId="38" fontId="1" fillId="0" borderId="4" xfId="1" applyFont="1" applyFill="1" applyBorder="1" applyAlignment="1">
      <alignment vertical="center"/>
    </xf>
    <xf numFmtId="38" fontId="1" fillId="0" borderId="5" xfId="1" applyFont="1" applyFill="1" applyBorder="1" applyAlignment="1">
      <alignment vertical="center"/>
    </xf>
    <xf numFmtId="38" fontId="1" fillId="0" borderId="6" xfId="1" applyFont="1" applyFill="1" applyBorder="1" applyAlignment="1">
      <alignment vertical="center"/>
    </xf>
    <xf numFmtId="0" fontId="0" fillId="0" borderId="0" xfId="0" applyFont="1" applyFill="1" applyAlignment="1">
      <alignment vertical="top" wrapText="1"/>
    </xf>
    <xf numFmtId="0" fontId="0" fillId="0" borderId="49" xfId="0" applyFont="1" applyFill="1" applyBorder="1" applyAlignment="1">
      <alignment vertical="center" shrinkToFit="1"/>
    </xf>
    <xf numFmtId="0" fontId="0" fillId="0" borderId="134" xfId="0" applyFont="1" applyFill="1" applyBorder="1" applyAlignment="1">
      <alignment vertical="center" shrinkToFit="1"/>
    </xf>
    <xf numFmtId="0" fontId="0" fillId="0" borderId="0" xfId="0" applyFont="1">
      <alignment vertical="center"/>
    </xf>
    <xf numFmtId="49" fontId="0" fillId="0" borderId="2" xfId="0" applyNumberFormat="1" applyFont="1" applyFill="1" applyBorder="1" applyAlignment="1">
      <alignment horizontal="right" vertical="center"/>
    </xf>
    <xf numFmtId="49" fontId="0" fillId="0" borderId="0" xfId="0" applyNumberFormat="1" applyFont="1" applyFill="1" applyAlignment="1">
      <alignment horizontal="right" vertical="center"/>
    </xf>
    <xf numFmtId="0" fontId="0" fillId="0" borderId="0" xfId="0" applyFont="1" applyFill="1" applyAlignment="1">
      <alignment vertical="center" wrapText="1"/>
    </xf>
    <xf numFmtId="0" fontId="0" fillId="0" borderId="0" xfId="0" applyFont="1" applyFill="1">
      <alignment vertical="center"/>
    </xf>
    <xf numFmtId="49" fontId="0" fillId="0" borderId="0" xfId="0" applyNumberFormat="1" applyFont="1" applyFill="1" applyBorder="1" applyAlignment="1">
      <alignment horizontal="right" vertical="center"/>
    </xf>
    <xf numFmtId="0" fontId="0" fillId="0" borderId="0" xfId="0" applyFont="1" applyFill="1" applyBorder="1" applyAlignment="1">
      <alignment vertical="center" wrapText="1"/>
    </xf>
    <xf numFmtId="0" fontId="1" fillId="0" borderId="0" xfId="3" applyFont="1" applyFill="1" applyBorder="1" applyAlignment="1">
      <alignment vertical="center"/>
    </xf>
    <xf numFmtId="38" fontId="1" fillId="0" borderId="103" xfId="1" applyFont="1" applyFill="1" applyBorder="1" applyAlignment="1">
      <alignment vertical="center"/>
    </xf>
    <xf numFmtId="38" fontId="1" fillId="0" borderId="106" xfId="1" applyFont="1" applyFill="1" applyBorder="1" applyAlignment="1">
      <alignment vertical="center"/>
    </xf>
    <xf numFmtId="38" fontId="4" fillId="0" borderId="26" xfId="1" applyFont="1" applyFill="1" applyBorder="1" applyAlignment="1">
      <alignment vertical="center"/>
    </xf>
    <xf numFmtId="38" fontId="4" fillId="0" borderId="27" xfId="1" applyFont="1" applyFill="1" applyBorder="1" applyAlignment="1">
      <alignment vertical="center"/>
    </xf>
    <xf numFmtId="38" fontId="4" fillId="0" borderId="28" xfId="1" applyFont="1" applyFill="1" applyBorder="1" applyAlignment="1">
      <alignment vertical="center"/>
    </xf>
    <xf numFmtId="38" fontId="13" fillId="0" borderId="27" xfId="1" applyFont="1" applyFill="1" applyBorder="1" applyAlignment="1">
      <alignment vertical="center"/>
    </xf>
    <xf numFmtId="38" fontId="13" fillId="0" borderId="88" xfId="1" applyFont="1" applyFill="1" applyBorder="1" applyAlignment="1">
      <alignment vertical="center"/>
    </xf>
    <xf numFmtId="38" fontId="13" fillId="0" borderId="115" xfId="1" applyFont="1" applyFill="1" applyBorder="1" applyAlignment="1">
      <alignment vertical="center"/>
    </xf>
    <xf numFmtId="38" fontId="4" fillId="0" borderId="11" xfId="1" applyFont="1" applyFill="1" applyBorder="1" applyAlignment="1">
      <alignment vertical="center"/>
    </xf>
    <xf numFmtId="38" fontId="13" fillId="0" borderId="187" xfId="1" applyFont="1" applyFill="1" applyBorder="1" applyAlignment="1">
      <alignment vertical="center"/>
    </xf>
    <xf numFmtId="38" fontId="1" fillId="0" borderId="187" xfId="1" applyFont="1" applyFill="1" applyBorder="1" applyAlignment="1">
      <alignment vertical="center"/>
    </xf>
    <xf numFmtId="38" fontId="1" fillId="0" borderId="115" xfId="1" applyFont="1" applyFill="1" applyBorder="1" applyAlignment="1">
      <alignment vertical="center"/>
    </xf>
    <xf numFmtId="38" fontId="13" fillId="0" borderId="29" xfId="1" applyFont="1" applyFill="1" applyBorder="1" applyAlignment="1">
      <alignment vertical="center"/>
    </xf>
    <xf numFmtId="38" fontId="13" fillId="0" borderId="13" xfId="1" applyFont="1" applyFill="1" applyBorder="1" applyAlignment="1">
      <alignment vertical="center"/>
    </xf>
    <xf numFmtId="38" fontId="13" fillId="0" borderId="14" xfId="1" applyFont="1" applyFill="1" applyBorder="1" applyAlignment="1">
      <alignment vertical="center"/>
    </xf>
    <xf numFmtId="38" fontId="13" fillId="0" borderId="103" xfId="1" applyFont="1" applyFill="1" applyBorder="1" applyAlignment="1">
      <alignment vertical="center"/>
    </xf>
    <xf numFmtId="38" fontId="13" fillId="0" borderId="106" xfId="1" applyFont="1" applyFill="1" applyBorder="1" applyAlignment="1">
      <alignment vertical="center"/>
    </xf>
    <xf numFmtId="38" fontId="13" fillId="0" borderId="26" xfId="1" applyFont="1" applyFill="1" applyBorder="1" applyAlignment="1">
      <alignment vertical="center"/>
    </xf>
    <xf numFmtId="38" fontId="13" fillId="0" borderId="28" xfId="1" applyFont="1" applyFill="1" applyBorder="1" applyAlignment="1">
      <alignment vertical="center"/>
    </xf>
    <xf numFmtId="38" fontId="13" fillId="0" borderId="11" xfId="1" applyFont="1" applyFill="1" applyBorder="1" applyAlignment="1">
      <alignment vertical="center"/>
    </xf>
    <xf numFmtId="38" fontId="13" fillId="0" borderId="9" xfId="1" applyFont="1" applyFill="1" applyBorder="1" applyAlignment="1">
      <alignment vertical="center"/>
    </xf>
    <xf numFmtId="38" fontId="13" fillId="0" borderId="10" xfId="1" applyFont="1" applyFill="1" applyBorder="1" applyAlignment="1">
      <alignment vertical="center"/>
    </xf>
    <xf numFmtId="38" fontId="13" fillId="0" borderId="4" xfId="1" applyFont="1" applyFill="1" applyBorder="1" applyAlignment="1">
      <alignment vertical="center"/>
    </xf>
    <xf numFmtId="38" fontId="13" fillId="0" borderId="5" xfId="1" applyFont="1" applyFill="1" applyBorder="1" applyAlignment="1">
      <alignment vertical="center"/>
    </xf>
    <xf numFmtId="38" fontId="13" fillId="0" borderId="6" xfId="1" applyFont="1" applyFill="1" applyBorder="1" applyAlignment="1">
      <alignment vertical="center"/>
    </xf>
    <xf numFmtId="38" fontId="13" fillId="0" borderId="64" xfId="1" applyFont="1" applyFill="1" applyBorder="1" applyAlignment="1">
      <alignment vertical="center"/>
    </xf>
    <xf numFmtId="38" fontId="13" fillId="0" borderId="105" xfId="1" applyFont="1" applyFill="1" applyBorder="1" applyAlignment="1">
      <alignment vertical="center"/>
    </xf>
    <xf numFmtId="38" fontId="13" fillId="0" borderId="62" xfId="1" applyFont="1" applyFill="1" applyBorder="1" applyAlignment="1">
      <alignment vertical="center"/>
    </xf>
    <xf numFmtId="38" fontId="13" fillId="0" borderId="109" xfId="1" applyFont="1" applyFill="1" applyBorder="1" applyAlignment="1">
      <alignment vertical="center"/>
    </xf>
    <xf numFmtId="38" fontId="1" fillId="0" borderId="97" xfId="1" applyFont="1" applyFill="1" applyBorder="1" applyAlignment="1">
      <alignment horizontal="right" vertical="center"/>
    </xf>
    <xf numFmtId="38" fontId="1" fillId="0" borderId="4" xfId="1" applyFont="1" applyFill="1" applyBorder="1" applyAlignment="1">
      <alignment horizontal="right" vertical="center"/>
    </xf>
    <xf numFmtId="38" fontId="1" fillId="0" borderId="62" xfId="1" applyFont="1" applyFill="1" applyBorder="1" applyAlignment="1">
      <alignment horizontal="right" vertical="center"/>
    </xf>
    <xf numFmtId="38" fontId="1" fillId="3" borderId="5" xfId="1" applyFont="1" applyFill="1" applyBorder="1" applyAlignment="1">
      <alignment horizontal="right" vertical="center"/>
    </xf>
    <xf numFmtId="38" fontId="1" fillId="3" borderId="124" xfId="1" applyFont="1" applyFill="1" applyBorder="1" applyAlignment="1">
      <alignment horizontal="right" vertical="center"/>
    </xf>
    <xf numFmtId="38" fontId="1" fillId="0" borderId="84" xfId="1" applyFont="1" applyFill="1" applyBorder="1" applyAlignment="1">
      <alignment horizontal="right" vertical="center"/>
    </xf>
    <xf numFmtId="38" fontId="1" fillId="0" borderId="169" xfId="1" applyFont="1" applyFill="1" applyBorder="1" applyAlignment="1">
      <alignment horizontal="right" vertical="center"/>
    </xf>
    <xf numFmtId="38" fontId="1" fillId="3" borderId="66" xfId="1" applyFont="1" applyFill="1" applyBorder="1" applyAlignment="1">
      <alignment horizontal="right" vertical="center"/>
    </xf>
    <xf numFmtId="38" fontId="1" fillId="3" borderId="190" xfId="1" applyFont="1" applyFill="1" applyBorder="1" applyAlignment="1">
      <alignment horizontal="right" vertical="center"/>
    </xf>
    <xf numFmtId="38" fontId="1" fillId="0" borderId="44" xfId="1" applyFont="1" applyFill="1" applyBorder="1" applyAlignment="1">
      <alignment horizontal="right" vertical="center"/>
    </xf>
    <xf numFmtId="38" fontId="1" fillId="0" borderId="7" xfId="1" applyFont="1" applyFill="1" applyBorder="1" applyAlignment="1">
      <alignment horizontal="right" vertical="center"/>
    </xf>
    <xf numFmtId="38" fontId="1" fillId="0" borderId="45" xfId="1" applyFont="1" applyFill="1" applyBorder="1" applyAlignment="1">
      <alignment horizontal="right" vertical="center"/>
    </xf>
    <xf numFmtId="38" fontId="1" fillId="0" borderId="122" xfId="1" applyFont="1" applyFill="1" applyBorder="1" applyAlignment="1">
      <alignment horizontal="right" vertical="center"/>
    </xf>
    <xf numFmtId="38" fontId="1" fillId="0" borderId="117" xfId="1" applyFont="1" applyFill="1" applyBorder="1" applyAlignment="1">
      <alignment horizontal="right" vertical="center"/>
    </xf>
    <xf numFmtId="38" fontId="1" fillId="0" borderId="11" xfId="1" applyFont="1" applyFill="1" applyBorder="1" applyAlignment="1">
      <alignment horizontal="right" vertical="center"/>
    </xf>
    <xf numFmtId="38" fontId="1" fillId="0" borderId="9" xfId="1" applyFont="1" applyFill="1" applyBorder="1" applyAlignment="1">
      <alignment horizontal="right" vertical="center"/>
    </xf>
    <xf numFmtId="38" fontId="1" fillId="0" borderId="10" xfId="1" applyFont="1" applyFill="1" applyBorder="1" applyAlignment="1">
      <alignment horizontal="right" vertical="center"/>
    </xf>
    <xf numFmtId="38" fontId="1" fillId="0" borderId="127" xfId="1" applyFont="1" applyFill="1" applyBorder="1" applyAlignment="1">
      <alignment horizontal="right" vertical="center"/>
    </xf>
    <xf numFmtId="38" fontId="1" fillId="0" borderId="34" xfId="1" applyFont="1" applyFill="1" applyBorder="1" applyAlignment="1">
      <alignment horizontal="right" vertical="center"/>
    </xf>
    <xf numFmtId="38" fontId="1" fillId="0" borderId="38" xfId="1" applyFont="1" applyFill="1" applyBorder="1" applyAlignment="1">
      <alignment horizontal="right" vertical="center"/>
    </xf>
    <xf numFmtId="38" fontId="1" fillId="0" borderId="87" xfId="1" applyFont="1" applyFill="1" applyBorder="1" applyAlignment="1">
      <alignment horizontal="right" vertical="center"/>
    </xf>
    <xf numFmtId="38" fontId="1" fillId="0" borderId="37" xfId="1" applyFont="1" applyFill="1" applyBorder="1" applyAlignment="1">
      <alignment horizontal="right" vertical="center"/>
    </xf>
    <xf numFmtId="38" fontId="1" fillId="0" borderId="185" xfId="1" applyFont="1" applyFill="1" applyBorder="1" applyAlignment="1">
      <alignment horizontal="right" vertical="center"/>
    </xf>
    <xf numFmtId="38" fontId="1" fillId="0" borderId="23" xfId="1" applyFont="1" applyFill="1" applyBorder="1" applyAlignment="1">
      <alignment horizontal="right" vertical="center"/>
    </xf>
    <xf numFmtId="38" fontId="1" fillId="0" borderId="13" xfId="1" applyFont="1" applyFill="1" applyBorder="1" applyAlignment="1">
      <alignment horizontal="right" vertical="center"/>
    </xf>
    <xf numFmtId="38" fontId="1" fillId="0" borderId="72" xfId="1" applyFont="1" applyFill="1" applyBorder="1" applyAlignment="1">
      <alignment horizontal="right" vertical="center"/>
    </xf>
    <xf numFmtId="38" fontId="1" fillId="0" borderId="29" xfId="1" applyFont="1" applyFill="1" applyBorder="1" applyAlignment="1">
      <alignment horizontal="right" vertical="center"/>
    </xf>
    <xf numFmtId="38" fontId="1" fillId="0" borderId="155" xfId="1" applyFont="1" applyFill="1" applyBorder="1" applyAlignment="1">
      <alignment horizontal="right" vertical="center"/>
    </xf>
    <xf numFmtId="38" fontId="1" fillId="0" borderId="31" xfId="1" applyFont="1" applyFill="1" applyBorder="1" applyAlignment="1">
      <alignment horizontal="right" vertical="center"/>
    </xf>
    <xf numFmtId="38" fontId="1" fillId="0" borderId="75" xfId="1" applyFont="1" applyFill="1" applyBorder="1" applyAlignment="1">
      <alignment horizontal="right" vertical="center"/>
    </xf>
    <xf numFmtId="38" fontId="1" fillId="0" borderId="129" xfId="1" applyFont="1" applyFill="1" applyBorder="1" applyAlignment="1">
      <alignment horizontal="right" vertical="center"/>
    </xf>
    <xf numFmtId="38" fontId="1" fillId="0" borderId="3" xfId="1" applyFont="1" applyFill="1" applyBorder="1" applyAlignment="1">
      <alignment horizontal="right" vertical="center"/>
    </xf>
    <xf numFmtId="38" fontId="1" fillId="0" borderId="5" xfId="1" applyFont="1" applyFill="1" applyBorder="1" applyAlignment="1">
      <alignment horizontal="right" vertical="center"/>
    </xf>
    <xf numFmtId="38" fontId="1" fillId="0" borderId="124" xfId="1" applyFont="1" applyFill="1" applyBorder="1" applyAlignment="1">
      <alignment horizontal="right" vertical="center"/>
    </xf>
    <xf numFmtId="38" fontId="1" fillId="0" borderId="119" xfId="1" applyFont="1" applyFill="1" applyBorder="1" applyAlignment="1">
      <alignment horizontal="right" vertical="center"/>
    </xf>
    <xf numFmtId="38" fontId="1" fillId="4" borderId="47" xfId="1" applyFont="1" applyFill="1" applyBorder="1" applyAlignment="1">
      <alignment horizontal="right" vertical="center"/>
    </xf>
    <xf numFmtId="38" fontId="1" fillId="4" borderId="97" xfId="1" applyFont="1" applyFill="1" applyBorder="1" applyAlignment="1">
      <alignment horizontal="right" vertical="center"/>
    </xf>
    <xf numFmtId="38" fontId="1" fillId="4" borderId="46" xfId="1" applyFont="1" applyFill="1" applyBorder="1" applyAlignment="1">
      <alignment horizontal="right" vertical="center"/>
    </xf>
    <xf numFmtId="38" fontId="1" fillId="0" borderId="168" xfId="1" applyFont="1" applyFill="1" applyBorder="1" applyAlignment="1">
      <alignment horizontal="right" vertical="center"/>
    </xf>
    <xf numFmtId="38" fontId="1" fillId="0" borderId="66" xfId="1" applyFont="1" applyFill="1" applyBorder="1" applyAlignment="1">
      <alignment horizontal="right" vertical="center"/>
    </xf>
    <xf numFmtId="38" fontId="1" fillId="0" borderId="190" xfId="1" applyFont="1" applyFill="1" applyBorder="1" applyAlignment="1">
      <alignment horizontal="right" vertical="center"/>
    </xf>
    <xf numFmtId="38" fontId="1" fillId="0" borderId="167" xfId="1" applyFont="1" applyFill="1" applyBorder="1" applyAlignment="1">
      <alignment horizontal="right" vertical="center"/>
    </xf>
    <xf numFmtId="38" fontId="1" fillId="0" borderId="57" xfId="1" applyFont="1" applyFill="1" applyBorder="1" applyAlignment="1">
      <alignment horizontal="right" vertical="center"/>
    </xf>
    <xf numFmtId="38" fontId="1" fillId="0" borderId="58" xfId="1" applyFont="1" applyFill="1" applyBorder="1" applyAlignment="1">
      <alignment horizontal="right" vertical="center"/>
    </xf>
    <xf numFmtId="38" fontId="1" fillId="0" borderId="59" xfId="1" applyFont="1" applyFill="1" applyBorder="1" applyAlignment="1">
      <alignment horizontal="right" vertical="center"/>
    </xf>
    <xf numFmtId="38" fontId="1" fillId="0" borderId="126" xfId="1" applyFont="1" applyFill="1" applyBorder="1" applyAlignment="1">
      <alignment horizontal="right" vertical="center"/>
    </xf>
    <xf numFmtId="38" fontId="1" fillId="0" borderId="26" xfId="1" applyFont="1" applyFill="1" applyBorder="1" applyAlignment="1">
      <alignment horizontal="right" vertical="center"/>
    </xf>
    <xf numFmtId="38" fontId="1" fillId="0" borderId="27" xfId="1" applyFont="1" applyFill="1" applyBorder="1" applyAlignment="1">
      <alignment horizontal="right" vertical="center"/>
    </xf>
    <xf numFmtId="38" fontId="1" fillId="0" borderId="28" xfId="1" applyFont="1" applyFill="1" applyBorder="1" applyAlignment="1">
      <alignment horizontal="right" vertical="center"/>
    </xf>
    <xf numFmtId="38" fontId="1" fillId="0" borderId="163" xfId="1" applyFont="1" applyFill="1" applyBorder="1" applyAlignment="1">
      <alignment horizontal="right" vertical="center"/>
    </xf>
    <xf numFmtId="38" fontId="1" fillId="4" borderId="26" xfId="1" applyFont="1" applyFill="1" applyBorder="1" applyAlignment="1">
      <alignment horizontal="right" vertical="center"/>
    </xf>
    <xf numFmtId="38" fontId="1" fillId="4" borderId="27" xfId="1" applyFont="1" applyFill="1" applyBorder="1" applyAlignment="1">
      <alignment horizontal="right" vertical="center"/>
    </xf>
    <xf numFmtId="38" fontId="1" fillId="4" borderId="28" xfId="1" applyFont="1" applyFill="1" applyBorder="1" applyAlignment="1">
      <alignment horizontal="right" vertical="center"/>
    </xf>
    <xf numFmtId="38" fontId="1" fillId="4" borderId="163" xfId="1" applyFont="1" applyFill="1" applyBorder="1" applyAlignment="1">
      <alignment horizontal="right" vertical="center"/>
    </xf>
    <xf numFmtId="38" fontId="1" fillId="0" borderId="46" xfId="1" applyFont="1" applyFill="1" applyBorder="1" applyAlignment="1">
      <alignment horizontal="right" vertical="center"/>
    </xf>
    <xf numFmtId="38" fontId="1" fillId="0" borderId="47" xfId="1" applyFont="1" applyFill="1" applyBorder="1" applyAlignment="1">
      <alignment horizontal="right" vertical="center"/>
    </xf>
    <xf numFmtId="38" fontId="1" fillId="0" borderId="48" xfId="1" applyFont="1" applyFill="1" applyBorder="1" applyAlignment="1">
      <alignment horizontal="right" vertical="center"/>
    </xf>
    <xf numFmtId="38" fontId="1" fillId="0" borderId="130" xfId="1" applyFont="1" applyFill="1" applyBorder="1" applyAlignment="1">
      <alignment horizontal="right" vertical="center"/>
    </xf>
    <xf numFmtId="38" fontId="1" fillId="0" borderId="39" xfId="1" applyFont="1" applyFill="1" applyBorder="1" applyAlignment="1">
      <alignment horizontal="right" vertical="center"/>
    </xf>
    <xf numFmtId="38" fontId="1" fillId="0" borderId="6" xfId="1" applyFont="1" applyFill="1" applyBorder="1" applyAlignment="1">
      <alignment horizontal="right" vertical="center"/>
    </xf>
    <xf numFmtId="38" fontId="1" fillId="0" borderId="166" xfId="1" applyFont="1" applyFill="1" applyBorder="1" applyAlignment="1">
      <alignment horizontal="right" vertical="center"/>
    </xf>
    <xf numFmtId="38" fontId="1" fillId="0" borderId="171" xfId="1" applyFont="1" applyFill="1" applyBorder="1" applyAlignment="1">
      <alignment horizontal="right" vertical="center"/>
    </xf>
    <xf numFmtId="38" fontId="1" fillId="0" borderId="172" xfId="1" applyFont="1" applyFill="1" applyBorder="1" applyAlignment="1">
      <alignment horizontal="right" vertical="center"/>
    </xf>
    <xf numFmtId="38" fontId="1" fillId="0" borderId="173" xfId="1" applyFont="1" applyFill="1" applyBorder="1" applyAlignment="1">
      <alignment horizontal="right" vertical="center"/>
    </xf>
    <xf numFmtId="38" fontId="1" fillId="0" borderId="186" xfId="1" applyFont="1" applyFill="1" applyBorder="1" applyAlignment="1">
      <alignment horizontal="right" vertical="center"/>
    </xf>
    <xf numFmtId="38" fontId="1" fillId="0" borderId="18" xfId="1" applyFont="1" applyFill="1" applyBorder="1" applyAlignment="1">
      <alignment horizontal="right" vertical="center"/>
    </xf>
    <xf numFmtId="38" fontId="1" fillId="0" borderId="16" xfId="1" applyFont="1" applyFill="1" applyBorder="1" applyAlignment="1">
      <alignment horizontal="right" vertical="center"/>
    </xf>
    <xf numFmtId="38" fontId="1" fillId="0" borderId="17" xfId="1" applyFont="1" applyFill="1" applyBorder="1" applyAlignment="1">
      <alignment horizontal="right" vertical="center"/>
    </xf>
    <xf numFmtId="38" fontId="1" fillId="0" borderId="192" xfId="1" applyFont="1" applyFill="1" applyBorder="1" applyAlignment="1">
      <alignment horizontal="right" vertical="center"/>
    </xf>
    <xf numFmtId="38" fontId="1" fillId="0" borderId="4" xfId="1" applyFont="1" applyFill="1" applyBorder="1" applyAlignment="1">
      <alignment horizontal="right" vertical="center" wrapText="1"/>
    </xf>
    <xf numFmtId="38" fontId="1" fillId="0" borderId="5" xfId="1" applyFont="1" applyFill="1" applyBorder="1" applyAlignment="1">
      <alignment horizontal="right" vertical="center" wrapText="1"/>
    </xf>
    <xf numFmtId="38" fontId="1" fillId="0" borderId="6" xfId="1" applyFont="1" applyFill="1" applyBorder="1" applyAlignment="1">
      <alignment horizontal="right" vertical="center" wrapText="1"/>
    </xf>
    <xf numFmtId="38" fontId="1" fillId="0" borderId="79" xfId="1" applyFont="1" applyFill="1" applyBorder="1" applyAlignment="1">
      <alignment horizontal="right" vertical="center"/>
    </xf>
    <xf numFmtId="38" fontId="1" fillId="0" borderId="85" xfId="1" applyFont="1" applyFill="1" applyBorder="1" applyAlignment="1">
      <alignment horizontal="right" vertical="center"/>
    </xf>
    <xf numFmtId="38" fontId="1" fillId="0" borderId="93" xfId="1" applyFont="1" applyFill="1" applyBorder="1" applyAlignment="1">
      <alignment horizontal="right" vertical="center"/>
    </xf>
    <xf numFmtId="38" fontId="1" fillId="0" borderId="118" xfId="1" applyFont="1" applyFill="1" applyBorder="1" applyAlignment="1">
      <alignment horizontal="right" vertical="center"/>
    </xf>
    <xf numFmtId="38" fontId="1" fillId="0" borderId="187" xfId="1" applyFont="1" applyFill="1" applyBorder="1" applyAlignment="1">
      <alignment horizontal="right" vertical="center"/>
    </xf>
    <xf numFmtId="38" fontId="1" fillId="0" borderId="88" xfId="1" applyFont="1" applyFill="1" applyBorder="1" applyAlignment="1">
      <alignment horizontal="right" vertical="center"/>
    </xf>
    <xf numFmtId="38" fontId="1" fillId="0" borderId="78" xfId="1" applyFont="1" applyFill="1" applyBorder="1" applyAlignment="1">
      <alignment horizontal="right" vertical="center"/>
    </xf>
    <xf numFmtId="38" fontId="1" fillId="0" borderId="94" xfId="1" applyFont="1" applyFill="1" applyBorder="1" applyAlignment="1">
      <alignment horizontal="right" vertical="center"/>
    </xf>
    <xf numFmtId="38" fontId="1" fillId="0" borderId="91" xfId="1" applyFont="1" applyFill="1" applyBorder="1" applyAlignment="1">
      <alignment horizontal="right" vertical="center"/>
    </xf>
    <xf numFmtId="38" fontId="1" fillId="0" borderId="178" xfId="1" applyFont="1" applyFill="1" applyBorder="1" applyAlignment="1">
      <alignment horizontal="right" vertical="center"/>
    </xf>
    <xf numFmtId="38" fontId="1" fillId="0" borderId="179" xfId="1" applyFont="1" applyFill="1" applyBorder="1" applyAlignment="1">
      <alignment horizontal="right" vertical="center"/>
    </xf>
    <xf numFmtId="38" fontId="1" fillId="0" borderId="180" xfId="1" applyFont="1" applyFill="1" applyBorder="1" applyAlignment="1">
      <alignment horizontal="right" vertical="center"/>
    </xf>
    <xf numFmtId="38" fontId="1" fillId="0" borderId="188" xfId="1" applyFont="1" applyFill="1" applyBorder="1" applyAlignment="1">
      <alignment horizontal="right" vertical="center"/>
    </xf>
    <xf numFmtId="38" fontId="1" fillId="0" borderId="181" xfId="1" applyFont="1" applyFill="1" applyBorder="1" applyAlignment="1">
      <alignment horizontal="right" vertical="center"/>
    </xf>
    <xf numFmtId="38" fontId="1" fillId="0" borderId="182" xfId="1" applyFont="1" applyFill="1" applyBorder="1" applyAlignment="1">
      <alignment horizontal="right" vertical="center"/>
    </xf>
    <xf numFmtId="38" fontId="1" fillId="0" borderId="175" xfId="1" applyFont="1" applyFill="1" applyBorder="1" applyAlignment="1">
      <alignment horizontal="right" vertical="center"/>
    </xf>
    <xf numFmtId="38" fontId="1" fillId="0" borderId="0" xfId="1" applyFont="1" applyFill="1" applyBorder="1" applyAlignment="1">
      <alignment horizontal="right" vertical="center"/>
    </xf>
    <xf numFmtId="38" fontId="1" fillId="0" borderId="42" xfId="1" applyFont="1" applyFill="1" applyBorder="1" applyAlignment="1">
      <alignment horizontal="right" vertical="center"/>
    </xf>
    <xf numFmtId="38" fontId="1" fillId="0" borderId="54" xfId="1" applyFont="1" applyFill="1" applyBorder="1" applyAlignment="1">
      <alignment horizontal="right" vertical="center"/>
    </xf>
    <xf numFmtId="38" fontId="1" fillId="0" borderId="55" xfId="1" applyFont="1" applyFill="1" applyBorder="1" applyAlignment="1">
      <alignment horizontal="right" vertical="center"/>
    </xf>
    <xf numFmtId="38" fontId="1" fillId="0" borderId="56" xfId="1" applyFont="1" applyFill="1" applyBorder="1" applyAlignment="1">
      <alignment horizontal="right" vertical="center"/>
    </xf>
    <xf numFmtId="38" fontId="1" fillId="0" borderId="189" xfId="1" applyFont="1" applyFill="1" applyBorder="1" applyAlignment="1">
      <alignment horizontal="right" vertical="center"/>
    </xf>
    <xf numFmtId="38" fontId="1" fillId="0" borderId="174" xfId="1" applyFont="1" applyFill="1" applyBorder="1" applyAlignment="1">
      <alignment horizontal="right" vertical="center"/>
    </xf>
    <xf numFmtId="38" fontId="1" fillId="0" borderId="120" xfId="1" applyFont="1" applyFill="1" applyBorder="1" applyAlignment="1">
      <alignment horizontal="right" vertical="center"/>
    </xf>
    <xf numFmtId="38" fontId="1" fillId="0" borderId="67" xfId="1" applyFont="1" applyFill="1" applyBorder="1" applyAlignment="1">
      <alignment horizontal="right" vertical="center"/>
    </xf>
    <xf numFmtId="38" fontId="1" fillId="3" borderId="54" xfId="1" applyFont="1" applyFill="1" applyBorder="1" applyAlignment="1">
      <alignment horizontal="right" vertical="center"/>
    </xf>
    <xf numFmtId="38" fontId="1" fillId="3" borderId="55" xfId="1" applyFont="1" applyFill="1" applyBorder="1" applyAlignment="1">
      <alignment horizontal="right" vertical="center"/>
    </xf>
    <xf numFmtId="38" fontId="1" fillId="3" borderId="121" xfId="1" applyFont="1" applyFill="1" applyBorder="1" applyAlignment="1">
      <alignment horizontal="right" vertical="center"/>
    </xf>
    <xf numFmtId="38" fontId="1" fillId="3" borderId="4" xfId="1" applyFont="1" applyFill="1" applyBorder="1" applyAlignment="1">
      <alignment horizontal="right" vertical="center"/>
    </xf>
    <xf numFmtId="38" fontId="1" fillId="3" borderId="84" xfId="1" applyFont="1" applyFill="1" applyBorder="1" applyAlignment="1">
      <alignment horizontal="right" vertical="center"/>
    </xf>
    <xf numFmtId="38" fontId="1" fillId="4" borderId="48" xfId="1" applyFont="1" applyFill="1" applyBorder="1" applyAlignment="1">
      <alignment horizontal="right" vertical="center"/>
    </xf>
    <xf numFmtId="38" fontId="1" fillId="4" borderId="93" xfId="1" applyFont="1" applyFill="1" applyBorder="1" applyAlignment="1">
      <alignment horizontal="right" vertical="center"/>
    </xf>
    <xf numFmtId="38" fontId="1" fillId="4" borderId="88" xfId="1" applyFont="1" applyFill="1" applyBorder="1" applyAlignment="1">
      <alignment horizontal="right" vertical="center"/>
    </xf>
    <xf numFmtId="38" fontId="1" fillId="4" borderId="187" xfId="1" applyFont="1" applyFill="1" applyBorder="1" applyAlignment="1">
      <alignment horizontal="right" vertical="center"/>
    </xf>
    <xf numFmtId="38" fontId="1" fillId="0" borderId="64" xfId="1" applyFont="1" applyFill="1" applyBorder="1" applyAlignment="1">
      <alignment horizontal="right" vertical="center"/>
    </xf>
    <xf numFmtId="38" fontId="4" fillId="3" borderId="13" xfId="1" applyFont="1" applyFill="1" applyBorder="1">
      <alignment vertical="center"/>
    </xf>
    <xf numFmtId="38" fontId="4" fillId="0" borderId="100" xfId="1" applyFont="1" applyFill="1" applyBorder="1" applyAlignment="1">
      <alignment vertical="center"/>
    </xf>
    <xf numFmtId="38" fontId="4" fillId="3" borderId="82" xfId="1" applyFont="1" applyFill="1" applyBorder="1" applyAlignment="1">
      <alignment vertical="center"/>
    </xf>
    <xf numFmtId="38" fontId="4" fillId="3" borderId="60" xfId="1" applyFont="1" applyFill="1" applyBorder="1" applyAlignment="1">
      <alignment vertical="center"/>
    </xf>
    <xf numFmtId="38" fontId="4" fillId="3" borderId="92" xfId="1" applyFont="1" applyFill="1" applyBorder="1" applyAlignment="1">
      <alignment vertical="center"/>
    </xf>
    <xf numFmtId="38" fontId="4" fillId="0" borderId="112" xfId="1" applyFont="1" applyFill="1" applyBorder="1" applyAlignment="1">
      <alignment vertical="center"/>
    </xf>
    <xf numFmtId="38" fontId="1" fillId="0" borderId="23" xfId="1" applyFont="1" applyBorder="1" applyAlignment="1" applyProtection="1">
      <alignment vertical="center" shrinkToFit="1"/>
      <protection locked="0"/>
    </xf>
    <xf numFmtId="38" fontId="1" fillId="0" borderId="13" xfId="1" applyFont="1" applyBorder="1" applyAlignment="1" applyProtection="1">
      <alignment vertical="center" shrinkToFit="1"/>
      <protection locked="0"/>
    </xf>
    <xf numFmtId="38" fontId="14" fillId="0" borderId="32" xfId="1" applyFont="1" applyFill="1" applyBorder="1" applyAlignment="1" applyProtection="1">
      <alignment vertical="center" shrinkToFit="1"/>
      <protection locked="0"/>
    </xf>
    <xf numFmtId="38" fontId="14" fillId="0" borderId="29" xfId="1" applyFont="1" applyBorder="1" applyAlignment="1" applyProtection="1">
      <alignment vertical="center" shrinkToFit="1"/>
      <protection locked="0"/>
    </xf>
    <xf numFmtId="38" fontId="14" fillId="0" borderId="13" xfId="1" applyFont="1" applyBorder="1" applyAlignment="1" applyProtection="1">
      <alignment vertical="center" shrinkToFit="1"/>
      <protection locked="0"/>
    </xf>
    <xf numFmtId="38" fontId="14" fillId="0" borderId="103" xfId="1" applyFont="1" applyBorder="1" applyAlignment="1" applyProtection="1">
      <alignment vertical="center" shrinkToFit="1"/>
      <protection locked="0"/>
    </xf>
    <xf numFmtId="38" fontId="14" fillId="0" borderId="106" xfId="1" applyFont="1" applyBorder="1" applyAlignment="1" applyProtection="1">
      <alignment vertical="center" shrinkToFit="1"/>
      <protection locked="0"/>
    </xf>
    <xf numFmtId="38" fontId="1" fillId="0" borderId="31" xfId="1" applyFont="1" applyBorder="1" applyAlignment="1" applyProtection="1">
      <alignment vertical="center" shrinkToFit="1"/>
      <protection locked="0"/>
    </xf>
    <xf numFmtId="38" fontId="1" fillId="0" borderId="9" xfId="1" applyFont="1" applyBorder="1" applyAlignment="1" applyProtection="1">
      <alignment vertical="center" shrinkToFit="1"/>
      <protection locked="0"/>
    </xf>
    <xf numFmtId="38" fontId="14" fillId="0" borderId="33" xfId="1" applyFont="1" applyFill="1" applyBorder="1" applyAlignment="1" applyProtection="1">
      <alignment vertical="center" shrinkToFit="1"/>
      <protection locked="0"/>
    </xf>
    <xf numFmtId="38" fontId="14" fillId="0" borderId="11" xfId="1" applyFont="1" applyBorder="1" applyAlignment="1" applyProtection="1">
      <alignment vertical="center" shrinkToFit="1"/>
      <protection locked="0"/>
    </xf>
    <xf numFmtId="38" fontId="14" fillId="0" borderId="9" xfId="1" applyFont="1" applyBorder="1" applyAlignment="1" applyProtection="1">
      <alignment vertical="center" shrinkToFit="1"/>
      <protection locked="0"/>
    </xf>
    <xf numFmtId="38" fontId="14" fillId="0" borderId="89" xfId="1" applyFont="1" applyBorder="1" applyAlignment="1" applyProtection="1">
      <alignment vertical="center" shrinkToFit="1"/>
      <protection locked="0"/>
    </xf>
    <xf numFmtId="38" fontId="14" fillId="0" borderId="107" xfId="1" applyFont="1" applyBorder="1" applyAlignment="1" applyProtection="1">
      <alignment vertical="center" shrinkToFit="1"/>
      <protection locked="0"/>
    </xf>
    <xf numFmtId="38" fontId="1" fillId="2" borderId="31" xfId="1" applyFont="1" applyFill="1" applyBorder="1" applyAlignment="1" applyProtection="1">
      <alignment vertical="center" shrinkToFit="1"/>
      <protection locked="0"/>
    </xf>
    <xf numFmtId="38" fontId="14" fillId="2" borderId="9" xfId="1" applyFont="1" applyFill="1" applyBorder="1" applyAlignment="1" applyProtection="1">
      <alignment vertical="center" shrinkToFit="1"/>
    </xf>
    <xf numFmtId="38" fontId="14" fillId="2" borderId="9" xfId="1" applyFont="1" applyFill="1" applyBorder="1" applyAlignment="1">
      <alignment vertical="center" shrinkToFit="1"/>
    </xf>
    <xf numFmtId="38" fontId="14" fillId="2" borderId="11" xfId="1" applyFont="1" applyFill="1" applyBorder="1" applyAlignment="1">
      <alignment vertical="center" shrinkToFit="1"/>
    </xf>
    <xf numFmtId="38" fontId="14" fillId="2" borderId="89" xfId="1" applyFont="1" applyFill="1" applyBorder="1" applyAlignment="1">
      <alignment vertical="center" shrinkToFit="1"/>
    </xf>
    <xf numFmtId="38" fontId="14" fillId="2" borderId="107" xfId="1" applyFont="1" applyFill="1" applyBorder="1" applyAlignment="1">
      <alignment vertical="center" shrinkToFit="1"/>
    </xf>
    <xf numFmtId="38" fontId="1" fillId="0" borderId="24" xfId="1" applyFont="1" applyBorder="1" applyAlignment="1" applyProtection="1">
      <alignment vertical="center" shrinkToFit="1"/>
      <protection locked="0"/>
    </xf>
    <xf numFmtId="38" fontId="1" fillId="0" borderId="16" xfId="1" applyFont="1" applyBorder="1" applyAlignment="1" applyProtection="1">
      <alignment vertical="center" shrinkToFit="1"/>
      <protection locked="0"/>
    </xf>
    <xf numFmtId="38" fontId="14" fillId="0" borderId="102" xfId="1" applyFont="1" applyFill="1" applyBorder="1" applyAlignment="1" applyProtection="1">
      <alignment vertical="center" shrinkToFit="1"/>
      <protection locked="0"/>
    </xf>
    <xf numFmtId="38" fontId="14" fillId="0" borderId="18" xfId="1" applyFont="1" applyBorder="1" applyAlignment="1" applyProtection="1">
      <alignment vertical="center" shrinkToFit="1"/>
      <protection locked="0"/>
    </xf>
    <xf numFmtId="38" fontId="14" fillId="0" borderId="16" xfId="1" applyFont="1" applyBorder="1" applyAlignment="1" applyProtection="1">
      <alignment vertical="center" shrinkToFit="1"/>
      <protection locked="0"/>
    </xf>
    <xf numFmtId="38" fontId="14" fillId="0" borderId="94" xfId="1" applyFont="1" applyBorder="1" applyAlignment="1" applyProtection="1">
      <alignment vertical="center" shrinkToFit="1"/>
      <protection locked="0"/>
    </xf>
    <xf numFmtId="38" fontId="14" fillId="0" borderId="108" xfId="1" applyFont="1" applyBorder="1" applyAlignment="1" applyProtection="1">
      <alignment vertical="center" shrinkToFit="1"/>
      <protection locked="0"/>
    </xf>
    <xf numFmtId="38" fontId="1" fillId="2" borderId="9" xfId="1" applyFont="1" applyFill="1" applyBorder="1" applyAlignment="1" applyProtection="1">
      <alignment vertical="center" shrinkToFit="1"/>
      <protection locked="0"/>
    </xf>
    <xf numFmtId="38" fontId="14" fillId="2" borderId="33" xfId="1" applyFont="1" applyFill="1" applyBorder="1" applyAlignment="1" applyProtection="1">
      <alignment vertical="center" shrinkToFit="1"/>
      <protection locked="0"/>
    </xf>
    <xf numFmtId="38" fontId="1" fillId="0" borderId="23" xfId="1" applyFont="1" applyBorder="1" applyAlignment="1" applyProtection="1">
      <alignment vertical="center" shrinkToFit="1"/>
    </xf>
    <xf numFmtId="38" fontId="1" fillId="0" borderId="13" xfId="1" applyFont="1" applyBorder="1" applyAlignment="1" applyProtection="1">
      <alignment vertical="center" shrinkToFit="1"/>
    </xf>
    <xf numFmtId="38" fontId="14" fillId="0" borderId="32" xfId="1" applyFont="1" applyFill="1" applyBorder="1" applyAlignment="1" applyProtection="1">
      <alignment vertical="center" shrinkToFit="1"/>
    </xf>
    <xf numFmtId="38" fontId="14" fillId="0" borderId="29" xfId="1" applyFont="1" applyBorder="1" applyAlignment="1" applyProtection="1">
      <alignment vertical="center" shrinkToFit="1"/>
    </xf>
    <xf numFmtId="38" fontId="14" fillId="0" borderId="13" xfId="1" applyFont="1" applyBorder="1" applyAlignment="1" applyProtection="1">
      <alignment vertical="center" shrinkToFit="1"/>
    </xf>
    <xf numFmtId="38" fontId="14" fillId="0" borderId="103" xfId="1" applyFont="1" applyBorder="1" applyAlignment="1" applyProtection="1">
      <alignment vertical="center" shrinkToFit="1"/>
    </xf>
    <xf numFmtId="38" fontId="14" fillId="0" borderId="106" xfId="1" applyFont="1" applyBorder="1" applyAlignment="1" applyProtection="1">
      <alignment vertical="center" shrinkToFit="1"/>
    </xf>
    <xf numFmtId="38" fontId="1" fillId="0" borderId="31" xfId="1" applyFont="1" applyBorder="1" applyAlignment="1" applyProtection="1">
      <alignment vertical="center" shrinkToFit="1"/>
    </xf>
    <xf numFmtId="38" fontId="1" fillId="0" borderId="9" xfId="1" applyFont="1" applyBorder="1" applyAlignment="1" applyProtection="1">
      <alignment vertical="center" shrinkToFit="1"/>
    </xf>
    <xf numFmtId="38" fontId="14" fillId="0" borderId="33" xfId="1" applyFont="1" applyFill="1" applyBorder="1" applyAlignment="1" applyProtection="1">
      <alignment vertical="center" shrinkToFit="1"/>
    </xf>
    <xf numFmtId="38" fontId="14" fillId="0" borderId="11" xfId="1" applyFont="1" applyBorder="1" applyAlignment="1" applyProtection="1">
      <alignment vertical="center" shrinkToFit="1"/>
    </xf>
    <xf numFmtId="38" fontId="14" fillId="0" borderId="9" xfId="1" applyFont="1" applyBorder="1" applyAlignment="1" applyProtection="1">
      <alignment vertical="center" shrinkToFit="1"/>
    </xf>
    <xf numFmtId="38" fontId="14" fillId="0" borderId="89" xfId="1" applyFont="1" applyBorder="1" applyAlignment="1" applyProtection="1">
      <alignment vertical="center" shrinkToFit="1"/>
    </xf>
    <xf numFmtId="38" fontId="14" fillId="0" borderId="107" xfId="1" applyFont="1" applyBorder="1" applyAlignment="1" applyProtection="1">
      <alignment vertical="center" shrinkToFit="1"/>
    </xf>
    <xf numFmtId="38" fontId="1" fillId="2" borderId="31" xfId="1" applyFont="1" applyFill="1" applyBorder="1" applyAlignment="1" applyProtection="1">
      <alignment vertical="center" shrinkToFit="1"/>
    </xf>
    <xf numFmtId="38" fontId="1" fillId="2" borderId="9" xfId="1" applyFont="1" applyFill="1" applyBorder="1" applyAlignment="1" applyProtection="1">
      <alignment vertical="center" shrinkToFit="1"/>
    </xf>
    <xf numFmtId="38" fontId="14" fillId="2" borderId="33" xfId="1" applyFont="1" applyFill="1" applyBorder="1" applyAlignment="1" applyProtection="1">
      <alignment vertical="center" shrinkToFit="1"/>
    </xf>
    <xf numFmtId="38" fontId="14" fillId="2" borderId="11" xfId="1" applyFont="1" applyFill="1" applyBorder="1" applyAlignment="1" applyProtection="1">
      <alignment vertical="center" shrinkToFit="1"/>
    </xf>
    <xf numFmtId="38" fontId="14" fillId="2" borderId="89" xfId="1" applyFont="1" applyFill="1" applyBorder="1" applyAlignment="1" applyProtection="1">
      <alignment vertical="center" shrinkToFit="1"/>
    </xf>
    <xf numFmtId="38" fontId="14" fillId="2" borderId="107" xfId="1" applyFont="1" applyFill="1" applyBorder="1" applyAlignment="1" applyProtection="1">
      <alignment vertical="center" shrinkToFit="1"/>
    </xf>
    <xf numFmtId="38" fontId="1" fillId="0" borderId="24" xfId="1" applyFont="1" applyBorder="1" applyAlignment="1" applyProtection="1">
      <alignment vertical="center" shrinkToFit="1"/>
    </xf>
    <xf numFmtId="38" fontId="1" fillId="0" borderId="16" xfId="1" applyFont="1" applyBorder="1" applyAlignment="1" applyProtection="1">
      <alignment vertical="center" shrinkToFit="1"/>
    </xf>
    <xf numFmtId="38" fontId="14" fillId="0" borderId="102" xfId="1" applyFont="1" applyFill="1" applyBorder="1" applyAlignment="1" applyProtection="1">
      <alignment vertical="center" shrinkToFit="1"/>
    </xf>
    <xf numFmtId="38" fontId="14" fillId="0" borderId="18" xfId="1" applyFont="1" applyBorder="1" applyAlignment="1" applyProtection="1">
      <alignment vertical="center" shrinkToFit="1"/>
    </xf>
    <xf numFmtId="38" fontId="14" fillId="0" borderId="16" xfId="1" applyFont="1" applyBorder="1" applyAlignment="1" applyProtection="1">
      <alignment vertical="center" shrinkToFit="1"/>
    </xf>
    <xf numFmtId="38" fontId="14" fillId="0" borderId="94" xfId="1" applyFont="1" applyBorder="1" applyAlignment="1" applyProtection="1">
      <alignment vertical="center" shrinkToFit="1"/>
    </xf>
    <xf numFmtId="38" fontId="14" fillId="0" borderId="112" xfId="1" applyFont="1" applyBorder="1" applyAlignment="1" applyProtection="1">
      <alignment vertical="center" shrinkToFit="1"/>
    </xf>
    <xf numFmtId="38" fontId="1" fillId="0" borderId="29" xfId="1" applyFont="1" applyBorder="1" applyAlignment="1" applyProtection="1">
      <alignment vertical="center" shrinkToFit="1"/>
      <protection locked="0"/>
    </xf>
    <xf numFmtId="38" fontId="1" fillId="0" borderId="103" xfId="1" applyFont="1" applyBorder="1" applyAlignment="1" applyProtection="1">
      <alignment vertical="center" shrinkToFit="1"/>
      <protection locked="0"/>
    </xf>
    <xf numFmtId="38" fontId="14" fillId="0" borderId="14" xfId="1" applyFont="1" applyFill="1" applyBorder="1" applyAlignment="1" applyProtection="1">
      <alignment vertical="center" shrinkToFit="1"/>
      <protection locked="0"/>
    </xf>
    <xf numFmtId="38" fontId="14" fillId="0" borderId="23" xfId="1" applyFont="1" applyBorder="1" applyAlignment="1" applyProtection="1">
      <alignment vertical="center" shrinkToFit="1"/>
      <protection locked="0"/>
    </xf>
    <xf numFmtId="38" fontId="14" fillId="0" borderId="20" xfId="1" applyFont="1" applyBorder="1" applyAlignment="1" applyProtection="1">
      <alignment vertical="center" shrinkToFit="1"/>
      <protection locked="0"/>
    </xf>
    <xf numFmtId="38" fontId="1" fillId="0" borderId="11" xfId="1" applyFont="1" applyBorder="1" applyAlignment="1" applyProtection="1">
      <alignment vertical="center" shrinkToFit="1"/>
      <protection locked="0"/>
    </xf>
    <xf numFmtId="38" fontId="1" fillId="0" borderId="89" xfId="1" applyFont="1" applyBorder="1" applyAlignment="1" applyProtection="1">
      <alignment vertical="center" shrinkToFit="1"/>
      <protection locked="0"/>
    </xf>
    <xf numFmtId="38" fontId="14" fillId="0" borderId="10" xfId="1" applyFont="1" applyFill="1" applyBorder="1" applyAlignment="1" applyProtection="1">
      <alignment vertical="center" shrinkToFit="1"/>
      <protection locked="0"/>
    </xf>
    <xf numFmtId="38" fontId="14" fillId="0" borderId="31" xfId="1" applyFont="1" applyBorder="1" applyAlignment="1" applyProtection="1">
      <alignment vertical="center" shrinkToFit="1"/>
      <protection locked="0"/>
    </xf>
    <xf numFmtId="38" fontId="14" fillId="0" borderId="21" xfId="1" applyFont="1" applyBorder="1" applyAlignment="1" applyProtection="1">
      <alignment vertical="center" shrinkToFit="1"/>
      <protection locked="0"/>
    </xf>
    <xf numFmtId="38" fontId="1" fillId="2" borderId="11" xfId="1" applyFont="1" applyFill="1" applyBorder="1" applyAlignment="1" applyProtection="1">
      <alignment vertical="center" shrinkToFit="1"/>
      <protection locked="0"/>
    </xf>
    <xf numFmtId="38" fontId="1" fillId="2" borderId="89" xfId="1" applyFont="1" applyFill="1" applyBorder="1" applyAlignment="1" applyProtection="1">
      <alignment vertical="center" shrinkToFit="1"/>
      <protection locked="0"/>
    </xf>
    <xf numFmtId="38" fontId="14" fillId="2" borderId="10" xfId="1" applyFont="1" applyFill="1" applyBorder="1" applyAlignment="1" applyProtection="1">
      <alignment vertical="center" shrinkToFit="1"/>
      <protection locked="0"/>
    </xf>
    <xf numFmtId="38" fontId="14" fillId="2" borderId="31" xfId="1" applyFont="1" applyFill="1" applyBorder="1" applyAlignment="1">
      <alignment vertical="center" shrinkToFit="1"/>
    </xf>
    <xf numFmtId="38" fontId="14" fillId="2" borderId="21" xfId="1" applyFont="1" applyFill="1" applyBorder="1" applyAlignment="1">
      <alignment vertical="center" shrinkToFit="1"/>
    </xf>
    <xf numFmtId="38" fontId="1" fillId="0" borderId="18" xfId="1" applyFont="1" applyBorder="1" applyAlignment="1" applyProtection="1">
      <alignment vertical="center" shrinkToFit="1"/>
      <protection locked="0"/>
    </xf>
    <xf numFmtId="38" fontId="1" fillId="0" borderId="94" xfId="1" applyFont="1" applyBorder="1" applyAlignment="1" applyProtection="1">
      <alignment vertical="center" shrinkToFit="1"/>
      <protection locked="0"/>
    </xf>
    <xf numFmtId="38" fontId="14" fillId="0" borderId="17" xfId="1" applyFont="1" applyFill="1" applyBorder="1" applyAlignment="1" applyProtection="1">
      <alignment vertical="center" shrinkToFit="1"/>
      <protection locked="0"/>
    </xf>
    <xf numFmtId="38" fontId="14" fillId="0" borderId="24" xfId="1" applyFont="1" applyBorder="1" applyAlignment="1" applyProtection="1">
      <alignment vertical="center" shrinkToFit="1"/>
      <protection locked="0"/>
    </xf>
    <xf numFmtId="38" fontId="14" fillId="0" borderId="22" xfId="1" applyFont="1" applyBorder="1" applyAlignment="1" applyProtection="1">
      <alignment vertical="center" shrinkToFit="1"/>
      <protection locked="0"/>
    </xf>
    <xf numFmtId="38" fontId="1" fillId="0" borderId="29" xfId="1" applyFont="1" applyBorder="1" applyAlignment="1" applyProtection="1">
      <alignment vertical="center" shrinkToFit="1"/>
    </xf>
    <xf numFmtId="38" fontId="1" fillId="0" borderId="103" xfId="1" applyFont="1" applyBorder="1" applyAlignment="1" applyProtection="1">
      <alignment vertical="center" shrinkToFit="1"/>
    </xf>
    <xf numFmtId="38" fontId="14" fillId="0" borderId="14" xfId="1" applyFont="1" applyFill="1" applyBorder="1" applyAlignment="1" applyProtection="1">
      <alignment vertical="center" shrinkToFit="1"/>
    </xf>
    <xf numFmtId="38" fontId="14" fillId="0" borderId="23" xfId="1" applyFont="1" applyBorder="1" applyAlignment="1" applyProtection="1">
      <alignment vertical="center" shrinkToFit="1"/>
    </xf>
    <xf numFmtId="38" fontId="14" fillId="0" borderId="20" xfId="1" applyFont="1" applyBorder="1" applyAlignment="1" applyProtection="1">
      <alignment vertical="center" shrinkToFit="1"/>
    </xf>
    <xf numFmtId="38" fontId="1" fillId="0" borderId="11" xfId="1" applyFont="1" applyBorder="1" applyAlignment="1" applyProtection="1">
      <alignment vertical="center" shrinkToFit="1"/>
    </xf>
    <xf numFmtId="38" fontId="1" fillId="0" borderId="89" xfId="1" applyFont="1" applyBorder="1" applyAlignment="1" applyProtection="1">
      <alignment vertical="center" shrinkToFit="1"/>
    </xf>
    <xf numFmtId="38" fontId="14" fillId="0" borderId="10" xfId="1" applyFont="1" applyFill="1" applyBorder="1" applyAlignment="1" applyProtection="1">
      <alignment vertical="center" shrinkToFit="1"/>
    </xf>
    <xf numFmtId="38" fontId="14" fillId="0" borderId="31" xfId="1" applyFont="1" applyBorder="1" applyAlignment="1" applyProtection="1">
      <alignment vertical="center" shrinkToFit="1"/>
    </xf>
    <xf numFmtId="38" fontId="14" fillId="0" borderId="21" xfId="1" applyFont="1" applyBorder="1" applyAlignment="1" applyProtection="1">
      <alignment vertical="center" shrinkToFit="1"/>
    </xf>
    <xf numFmtId="38" fontId="1" fillId="2" borderId="11" xfId="1" applyFont="1" applyFill="1" applyBorder="1" applyAlignment="1" applyProtection="1">
      <alignment vertical="center" shrinkToFit="1"/>
    </xf>
    <xf numFmtId="38" fontId="1" fillId="2" borderId="89" xfId="1" applyFont="1" applyFill="1" applyBorder="1" applyAlignment="1" applyProtection="1">
      <alignment vertical="center" shrinkToFit="1"/>
    </xf>
    <xf numFmtId="38" fontId="14" fillId="2" borderId="10" xfId="1" applyFont="1" applyFill="1" applyBorder="1" applyAlignment="1" applyProtection="1">
      <alignment vertical="center" shrinkToFit="1"/>
    </xf>
    <xf numFmtId="38" fontId="14" fillId="2" borderId="31" xfId="1" applyFont="1" applyFill="1" applyBorder="1" applyAlignment="1" applyProtection="1">
      <alignment vertical="center" shrinkToFit="1"/>
    </xf>
    <xf numFmtId="38" fontId="14" fillId="2" borderId="21" xfId="1" applyFont="1" applyFill="1" applyBorder="1" applyAlignment="1" applyProtection="1">
      <alignment vertical="center" shrinkToFit="1"/>
    </xf>
    <xf numFmtId="38" fontId="1" fillId="0" borderId="18" xfId="1" applyFont="1" applyBorder="1" applyAlignment="1" applyProtection="1">
      <alignment vertical="center" shrinkToFit="1"/>
    </xf>
    <xf numFmtId="38" fontId="1" fillId="0" borderId="94" xfId="1" applyFont="1" applyBorder="1" applyAlignment="1" applyProtection="1">
      <alignment vertical="center" shrinkToFit="1"/>
    </xf>
    <xf numFmtId="38" fontId="14" fillId="0" borderId="17" xfId="1" applyFont="1" applyFill="1" applyBorder="1" applyAlignment="1" applyProtection="1">
      <alignment vertical="center" shrinkToFit="1"/>
    </xf>
    <xf numFmtId="38" fontId="14" fillId="0" borderId="24" xfId="1" applyFont="1" applyBorder="1" applyAlignment="1" applyProtection="1">
      <alignment vertical="center" shrinkToFit="1"/>
    </xf>
    <xf numFmtId="38" fontId="14" fillId="0" borderId="22" xfId="1" applyFont="1" applyBorder="1" applyAlignment="1" applyProtection="1">
      <alignment vertical="center" shrinkToFit="1"/>
    </xf>
    <xf numFmtId="38" fontId="1" fillId="0" borderId="4" xfId="1" applyFont="1" applyBorder="1" applyAlignment="1" applyProtection="1">
      <alignment vertical="center" shrinkToFit="1"/>
    </xf>
    <xf numFmtId="38" fontId="1" fillId="0" borderId="64" xfId="1" applyFont="1" applyBorder="1" applyAlignment="1" applyProtection="1">
      <alignment vertical="center" shrinkToFit="1"/>
    </xf>
    <xf numFmtId="38" fontId="14" fillId="0" borderId="6" xfId="1" applyFont="1" applyFill="1" applyBorder="1" applyAlignment="1" applyProtection="1">
      <alignment vertical="center" shrinkToFit="1"/>
    </xf>
    <xf numFmtId="38" fontId="14" fillId="0" borderId="3" xfId="1" applyFont="1" applyBorder="1" applyAlignment="1" applyProtection="1">
      <alignment vertical="center" shrinkToFit="1"/>
    </xf>
    <xf numFmtId="38" fontId="14" fillId="0" borderId="5" xfId="1" applyFont="1" applyBorder="1" applyAlignment="1" applyProtection="1">
      <alignment vertical="center" shrinkToFit="1"/>
    </xf>
    <xf numFmtId="38" fontId="14" fillId="0" borderId="19" xfId="1" applyFont="1" applyBorder="1" applyAlignment="1" applyProtection="1">
      <alignment vertical="center" shrinkToFit="1"/>
    </xf>
    <xf numFmtId="38" fontId="14" fillId="0" borderId="64" xfId="1" applyFont="1" applyBorder="1" applyAlignment="1" applyProtection="1">
      <alignment vertical="center" shrinkToFit="1"/>
    </xf>
    <xf numFmtId="38" fontId="14" fillId="0" borderId="105" xfId="1" applyFont="1" applyBorder="1" applyAlignment="1" applyProtection="1">
      <alignment vertical="center" shrinkToFit="1"/>
    </xf>
    <xf numFmtId="38" fontId="14" fillId="0" borderId="108" xfId="1" applyFont="1" applyBorder="1" applyAlignment="1" applyProtection="1">
      <alignment vertical="center" shrinkToFit="1"/>
    </xf>
    <xf numFmtId="38" fontId="1" fillId="2" borderId="4" xfId="1" applyFont="1" applyFill="1" applyBorder="1" applyAlignment="1" applyProtection="1">
      <alignment vertical="center" shrinkToFit="1"/>
    </xf>
    <xf numFmtId="38" fontId="1" fillId="2" borderId="64" xfId="1" applyFont="1" applyFill="1" applyBorder="1" applyAlignment="1" applyProtection="1">
      <alignment vertical="center" shrinkToFit="1"/>
    </xf>
    <xf numFmtId="38" fontId="1" fillId="2" borderId="3" xfId="1" applyFont="1" applyFill="1" applyBorder="1" applyAlignment="1" applyProtection="1">
      <alignment vertical="center" shrinkToFit="1"/>
    </xf>
    <xf numFmtId="38" fontId="1" fillId="2" borderId="68" xfId="1" applyFont="1" applyFill="1" applyBorder="1" applyAlignment="1" applyProtection="1">
      <alignment vertical="center" shrinkToFit="1"/>
    </xf>
    <xf numFmtId="38" fontId="1" fillId="2" borderId="109" xfId="1" applyFont="1" applyFill="1" applyBorder="1" applyAlignment="1" applyProtection="1">
      <alignment vertical="center" shrinkToFit="1"/>
    </xf>
    <xf numFmtId="0" fontId="1" fillId="4" borderId="83" xfId="3" applyFont="1" applyFill="1" applyBorder="1" applyAlignment="1">
      <alignment vertical="center"/>
    </xf>
    <xf numFmtId="0" fontId="1" fillId="4" borderId="25" xfId="3" applyFont="1" applyFill="1" applyBorder="1" applyAlignment="1">
      <alignment vertical="center"/>
    </xf>
    <xf numFmtId="0" fontId="1" fillId="0" borderId="0" xfId="3" applyFont="1" applyFill="1" applyBorder="1" applyAlignment="1">
      <alignment vertical="center"/>
    </xf>
    <xf numFmtId="0" fontId="1" fillId="0" borderId="193" xfId="2" applyFont="1" applyFill="1" applyBorder="1" applyAlignment="1">
      <alignment vertical="center"/>
    </xf>
    <xf numFmtId="38" fontId="1" fillId="4" borderId="1" xfId="1" applyFont="1" applyFill="1" applyBorder="1" applyAlignment="1" applyProtection="1">
      <alignment horizontal="right" vertical="center"/>
      <protection locked="0"/>
    </xf>
    <xf numFmtId="38" fontId="1" fillId="4" borderId="47" xfId="1" applyFont="1" applyFill="1" applyBorder="1" applyAlignment="1" applyProtection="1">
      <alignment horizontal="right" vertical="center"/>
      <protection locked="0"/>
    </xf>
    <xf numFmtId="38" fontId="1" fillId="4" borderId="97" xfId="1" applyFont="1" applyFill="1" applyBorder="1" applyAlignment="1" applyProtection="1">
      <alignment horizontal="right" vertical="center"/>
      <protection locked="0"/>
    </xf>
    <xf numFmtId="38" fontId="1" fillId="4" borderId="46" xfId="1" applyFont="1" applyFill="1" applyBorder="1" applyAlignment="1" applyProtection="1">
      <alignment horizontal="right" vertical="center"/>
      <protection locked="0"/>
    </xf>
    <xf numFmtId="38" fontId="1" fillId="4" borderId="123" xfId="1" applyFont="1" applyFill="1" applyBorder="1" applyAlignment="1" applyProtection="1">
      <alignment horizontal="right" vertical="center"/>
      <protection locked="0"/>
    </xf>
    <xf numFmtId="38" fontId="1" fillId="4" borderId="4" xfId="1" applyFont="1" applyFill="1" applyBorder="1" applyAlignment="1" applyProtection="1">
      <alignment horizontal="right" vertical="center"/>
      <protection locked="0"/>
    </xf>
    <xf numFmtId="38" fontId="1" fillId="4" borderId="5" xfId="1" applyFont="1" applyFill="1" applyBorder="1" applyAlignment="1" applyProtection="1">
      <alignment horizontal="right" vertical="center"/>
      <protection locked="0"/>
    </xf>
    <xf numFmtId="38" fontId="1" fillId="4" borderId="6" xfId="1" applyFont="1" applyFill="1" applyBorder="1" applyAlignment="1" applyProtection="1">
      <alignment horizontal="right" vertical="center"/>
      <protection locked="0"/>
    </xf>
    <xf numFmtId="38" fontId="1" fillId="4" borderId="124" xfId="1" applyFont="1" applyFill="1" applyBorder="1" applyAlignment="1" applyProtection="1">
      <alignment horizontal="right" vertical="center"/>
      <protection locked="0"/>
    </xf>
    <xf numFmtId="38" fontId="1" fillId="0" borderId="117" xfId="1" applyFont="1" applyFill="1" applyBorder="1" applyAlignment="1" applyProtection="1">
      <alignment horizontal="right" vertical="center"/>
      <protection locked="0"/>
    </xf>
    <xf numFmtId="38" fontId="1" fillId="0" borderId="125" xfId="1" applyFont="1" applyFill="1" applyBorder="1" applyAlignment="1" applyProtection="1">
      <alignment horizontal="right" vertical="center"/>
      <protection locked="0"/>
    </xf>
    <xf numFmtId="38" fontId="1" fillId="0" borderId="184" xfId="1" applyFont="1" applyFill="1" applyBorder="1" applyAlignment="1" applyProtection="1">
      <alignment horizontal="right" vertical="center"/>
      <protection locked="0"/>
    </xf>
    <xf numFmtId="38" fontId="1" fillId="0" borderId="156" xfId="1" applyFont="1" applyFill="1" applyBorder="1" applyAlignment="1" applyProtection="1">
      <alignment horizontal="right" vertical="center"/>
      <protection locked="0"/>
    </xf>
    <xf numFmtId="38" fontId="1" fillId="0" borderId="129" xfId="1" applyFont="1" applyFill="1" applyBorder="1" applyAlignment="1" applyProtection="1">
      <alignment horizontal="right" vertical="center"/>
      <protection locked="0"/>
    </xf>
    <xf numFmtId="38" fontId="1" fillId="0" borderId="119" xfId="1" applyFont="1" applyFill="1" applyBorder="1" applyAlignment="1" applyProtection="1">
      <alignment horizontal="right" vertical="center"/>
      <protection locked="0"/>
    </xf>
    <xf numFmtId="38" fontId="1" fillId="0" borderId="167" xfId="1" applyFont="1" applyFill="1" applyBorder="1" applyAlignment="1" applyProtection="1">
      <alignment horizontal="right" vertical="center"/>
      <protection locked="0"/>
    </xf>
    <xf numFmtId="38" fontId="1" fillId="0" borderId="161" xfId="1" applyFont="1" applyFill="1" applyBorder="1" applyAlignment="1" applyProtection="1">
      <alignment horizontal="right" vertical="center"/>
      <protection locked="0"/>
    </xf>
    <xf numFmtId="38" fontId="1" fillId="0" borderId="167" xfId="1" applyFont="1" applyFill="1" applyBorder="1" applyAlignment="1" applyProtection="1">
      <alignment horizontal="right" vertical="center" wrapText="1" justifyLastLine="1"/>
      <protection locked="0"/>
    </xf>
    <xf numFmtId="38" fontId="1" fillId="0" borderId="97" xfId="1" applyFont="1" applyFill="1" applyBorder="1" applyAlignment="1" applyProtection="1">
      <alignment horizontal="right" vertical="center"/>
      <protection locked="0"/>
    </xf>
    <xf numFmtId="38" fontId="1" fillId="3" borderId="172" xfId="1" applyFont="1" applyFill="1" applyBorder="1" applyAlignment="1" applyProtection="1">
      <alignment horizontal="right" vertical="center"/>
      <protection locked="0"/>
    </xf>
    <xf numFmtId="38" fontId="1" fillId="0" borderId="4" xfId="1" applyFont="1" applyFill="1" applyBorder="1" applyAlignment="1" applyProtection="1">
      <alignment horizontal="right" vertical="center"/>
      <protection locked="0"/>
    </xf>
    <xf numFmtId="38" fontId="1" fillId="0" borderId="62" xfId="1" applyFont="1" applyFill="1" applyBorder="1" applyAlignment="1" applyProtection="1">
      <alignment horizontal="right" vertical="center"/>
      <protection locked="0"/>
    </xf>
    <xf numFmtId="38" fontId="1" fillId="3" borderId="5" xfId="1" applyFont="1" applyFill="1" applyBorder="1" applyAlignment="1" applyProtection="1">
      <alignment horizontal="right" vertical="center"/>
      <protection locked="0"/>
    </xf>
    <xf numFmtId="38" fontId="1" fillId="3" borderId="124" xfId="1" applyFont="1" applyFill="1" applyBorder="1" applyAlignment="1" applyProtection="1">
      <alignment horizontal="right" vertical="center"/>
      <protection locked="0"/>
    </xf>
    <xf numFmtId="38" fontId="1" fillId="0" borderId="84" xfId="1" applyFont="1" applyFill="1" applyBorder="1" applyAlignment="1" applyProtection="1">
      <alignment horizontal="right" vertical="center"/>
      <protection locked="0"/>
    </xf>
    <xf numFmtId="38" fontId="1" fillId="0" borderId="169" xfId="1" applyFont="1" applyFill="1" applyBorder="1" applyAlignment="1" applyProtection="1">
      <alignment horizontal="right" vertical="center"/>
      <protection locked="0"/>
    </xf>
    <xf numFmtId="38" fontId="1" fillId="3" borderId="66" xfId="1" applyFont="1" applyFill="1" applyBorder="1" applyAlignment="1" applyProtection="1">
      <alignment horizontal="right" vertical="center"/>
      <protection locked="0"/>
    </xf>
    <xf numFmtId="38" fontId="1" fillId="3" borderId="190" xfId="1" applyFont="1" applyFill="1" applyBorder="1" applyAlignment="1" applyProtection="1">
      <alignment horizontal="right" vertical="center"/>
      <protection locked="0"/>
    </xf>
    <xf numFmtId="38" fontId="1" fillId="0" borderId="79" xfId="1" applyFont="1" applyFill="1" applyBorder="1" applyAlignment="1">
      <alignment vertical="center"/>
    </xf>
    <xf numFmtId="38" fontId="1" fillId="4" borderId="116" xfId="1" applyFont="1" applyFill="1" applyBorder="1" applyAlignment="1">
      <alignment horizontal="right" vertical="center"/>
    </xf>
    <xf numFmtId="38" fontId="1" fillId="4" borderId="119" xfId="1" applyFont="1" applyFill="1" applyBorder="1" applyAlignment="1">
      <alignment horizontal="right" vertical="center"/>
    </xf>
    <xf numFmtId="38" fontId="1" fillId="4" borderId="128" xfId="1" applyFont="1" applyFill="1" applyBorder="1" applyAlignment="1">
      <alignment horizontal="right" vertical="center"/>
    </xf>
    <xf numFmtId="0" fontId="3" fillId="0" borderId="0" xfId="0" applyFont="1" applyFill="1" applyBorder="1" applyAlignment="1">
      <alignment horizontal="right" vertical="center"/>
    </xf>
    <xf numFmtId="38" fontId="1" fillId="3" borderId="121" xfId="1" applyFont="1" applyFill="1" applyBorder="1" applyAlignment="1" applyProtection="1">
      <alignment horizontal="right" vertical="center"/>
      <protection locked="0"/>
    </xf>
    <xf numFmtId="38" fontId="1" fillId="4" borderId="118" xfId="1" applyFont="1" applyFill="1" applyBorder="1" applyAlignment="1">
      <alignment horizontal="right" vertical="center"/>
    </xf>
    <xf numFmtId="38" fontId="1" fillId="4" borderId="129" xfId="1" applyFont="1" applyFill="1" applyBorder="1" applyAlignment="1">
      <alignment horizontal="right" vertical="center"/>
    </xf>
    <xf numFmtId="38" fontId="0" fillId="4" borderId="194" xfId="1" applyFont="1" applyFill="1" applyBorder="1" applyAlignment="1">
      <alignment horizontal="center" vertical="center"/>
    </xf>
    <xf numFmtId="0" fontId="20" fillId="0" borderId="0" xfId="0" applyFont="1" applyAlignment="1">
      <alignment horizontal="center" vertical="center"/>
    </xf>
    <xf numFmtId="0" fontId="6" fillId="0" borderId="2" xfId="0" applyFont="1" applyFill="1" applyBorder="1" applyAlignment="1">
      <alignment horizontal="center" vertical="center" shrinkToFit="1"/>
    </xf>
    <xf numFmtId="38" fontId="1" fillId="0" borderId="26" xfId="1" applyFont="1" applyFill="1" applyBorder="1" applyAlignment="1">
      <alignment vertical="center"/>
    </xf>
    <xf numFmtId="38" fontId="1" fillId="0" borderId="27" xfId="1" applyFont="1" applyFill="1" applyBorder="1" applyAlignment="1">
      <alignment vertical="center"/>
    </xf>
    <xf numFmtId="38" fontId="1" fillId="0" borderId="28" xfId="1" applyFont="1" applyFill="1" applyBorder="1" applyAlignment="1">
      <alignment vertical="center"/>
    </xf>
    <xf numFmtId="38" fontId="1" fillId="0" borderId="33" xfId="1" applyFont="1" applyFill="1" applyBorder="1" applyAlignment="1">
      <alignment vertical="center"/>
    </xf>
    <xf numFmtId="38" fontId="1" fillId="0" borderId="16" xfId="1" applyFont="1" applyFill="1" applyBorder="1" applyAlignment="1">
      <alignment vertical="center"/>
    </xf>
    <xf numFmtId="38" fontId="1" fillId="0" borderId="46" xfId="1" applyFont="1" applyFill="1" applyBorder="1" applyAlignment="1">
      <alignment vertical="center"/>
    </xf>
    <xf numFmtId="38" fontId="1" fillId="0" borderId="47" xfId="1" applyFont="1" applyFill="1" applyBorder="1" applyAlignment="1">
      <alignment vertical="center"/>
    </xf>
    <xf numFmtId="38" fontId="1" fillId="0" borderId="48" xfId="1" applyFont="1" applyFill="1" applyBorder="1" applyAlignment="1">
      <alignment vertical="center"/>
    </xf>
    <xf numFmtId="38" fontId="1" fillId="0" borderId="88" xfId="1" applyFont="1" applyFill="1" applyBorder="1" applyAlignment="1">
      <alignment vertical="center"/>
    </xf>
    <xf numFmtId="38" fontId="1" fillId="0" borderId="75" xfId="1" applyFont="1" applyFill="1" applyBorder="1" applyAlignment="1">
      <alignment vertical="center"/>
    </xf>
    <xf numFmtId="38" fontId="1" fillId="0" borderId="89" xfId="1" applyFont="1" applyFill="1" applyBorder="1" applyAlignment="1">
      <alignment vertical="center"/>
    </xf>
    <xf numFmtId="38" fontId="1" fillId="0" borderId="107" xfId="1" applyFont="1" applyFill="1" applyBorder="1" applyAlignment="1">
      <alignment vertical="center"/>
    </xf>
    <xf numFmtId="38" fontId="1" fillId="0" borderId="94" xfId="1" applyFont="1" applyFill="1" applyBorder="1" applyAlignment="1">
      <alignment vertical="center"/>
    </xf>
    <xf numFmtId="38" fontId="1" fillId="0" borderId="108" xfId="1" applyFont="1" applyFill="1" applyBorder="1" applyAlignment="1">
      <alignment vertical="center"/>
    </xf>
    <xf numFmtId="38" fontId="1" fillId="0" borderId="62" xfId="1" applyFont="1" applyFill="1" applyBorder="1" applyAlignment="1">
      <alignment vertical="center"/>
    </xf>
    <xf numFmtId="38" fontId="1" fillId="0" borderId="19" xfId="1" applyFont="1" applyFill="1" applyBorder="1" applyAlignment="1">
      <alignment vertical="center"/>
    </xf>
    <xf numFmtId="38" fontId="1" fillId="0" borderId="105" xfId="1" applyFont="1" applyFill="1" applyBorder="1" applyAlignment="1">
      <alignment vertical="center"/>
    </xf>
    <xf numFmtId="38" fontId="1" fillId="0" borderId="64" xfId="1" applyFont="1" applyFill="1" applyBorder="1" applyAlignment="1">
      <alignment vertical="center"/>
    </xf>
    <xf numFmtId="38" fontId="1" fillId="0" borderId="68" xfId="1" applyFont="1" applyFill="1" applyBorder="1" applyAlignment="1">
      <alignment vertical="center"/>
    </xf>
    <xf numFmtId="38" fontId="1" fillId="0" borderId="21" xfId="1" applyFont="1" applyFill="1" applyBorder="1" applyAlignment="1" applyProtection="1">
      <alignment vertical="center" shrinkToFit="1"/>
      <protection locked="0"/>
    </xf>
    <xf numFmtId="38" fontId="1" fillId="0" borderId="107" xfId="1" applyFont="1" applyBorder="1" applyAlignment="1" applyProtection="1">
      <alignment vertical="center" shrinkToFit="1"/>
      <protection locked="0"/>
    </xf>
    <xf numFmtId="38" fontId="1" fillId="0" borderId="33" xfId="1" applyFont="1" applyFill="1" applyBorder="1" applyAlignment="1" applyProtection="1">
      <alignment vertical="center" shrinkToFit="1"/>
      <protection locked="0"/>
    </xf>
    <xf numFmtId="0" fontId="0" fillId="0" borderId="21" xfId="4" applyFont="1" applyFill="1" applyBorder="1" applyAlignment="1">
      <alignment horizontal="center" vertical="center" shrinkToFit="1"/>
    </xf>
    <xf numFmtId="38" fontId="1" fillId="0" borderId="31" xfId="1" applyFont="1" applyFill="1" applyBorder="1" applyAlignment="1" applyProtection="1">
      <alignment vertical="center" shrinkToFit="1"/>
      <protection locked="0"/>
    </xf>
    <xf numFmtId="38" fontId="1" fillId="0" borderId="9" xfId="1" applyFont="1" applyFill="1" applyBorder="1" applyAlignment="1" applyProtection="1">
      <alignment vertical="center" shrinkToFit="1"/>
      <protection locked="0"/>
    </xf>
    <xf numFmtId="38" fontId="1" fillId="0" borderId="11" xfId="1" applyFont="1" applyFill="1" applyBorder="1" applyAlignment="1" applyProtection="1">
      <alignment vertical="center" shrinkToFit="1"/>
      <protection locked="0"/>
    </xf>
    <xf numFmtId="38" fontId="1" fillId="0" borderId="89" xfId="1" applyFont="1" applyFill="1" applyBorder="1" applyAlignment="1" applyProtection="1">
      <alignment vertical="center" shrinkToFit="1"/>
      <protection locked="0"/>
    </xf>
    <xf numFmtId="38" fontId="1" fillId="0" borderId="107" xfId="1" applyFont="1" applyFill="1" applyBorder="1" applyAlignment="1" applyProtection="1">
      <alignment vertical="center" shrinkToFit="1"/>
      <protection locked="0"/>
    </xf>
    <xf numFmtId="38" fontId="1" fillId="0" borderId="18" xfId="1" applyFont="1" applyFill="1" applyBorder="1" applyAlignment="1">
      <alignment vertical="center"/>
    </xf>
    <xf numFmtId="38" fontId="1" fillId="0" borderId="102" xfId="1" applyFont="1" applyFill="1" applyBorder="1" applyAlignment="1">
      <alignment vertical="center"/>
    </xf>
    <xf numFmtId="179" fontId="1" fillId="3" borderId="3" xfId="4" applyNumberFormat="1" applyFont="1" applyFill="1" applyBorder="1" applyAlignment="1">
      <alignment horizontal="center" vertical="center"/>
    </xf>
    <xf numFmtId="179" fontId="1" fillId="3" borderId="5" xfId="4" applyNumberFormat="1" applyFont="1" applyFill="1" applyBorder="1" applyAlignment="1">
      <alignment horizontal="center" vertical="center"/>
    </xf>
    <xf numFmtId="179" fontId="1" fillId="3" borderId="62" xfId="4" applyNumberFormat="1" applyFont="1" applyFill="1" applyBorder="1" applyAlignment="1">
      <alignment horizontal="center" vertical="center"/>
    </xf>
    <xf numFmtId="182" fontId="1" fillId="0" borderId="4" xfId="0" applyNumberFormat="1" applyFont="1" applyFill="1" applyBorder="1" applyAlignment="1">
      <alignment horizontal="center" vertical="center"/>
    </xf>
    <xf numFmtId="182" fontId="1" fillId="0" borderId="5" xfId="0" applyNumberFormat="1" applyFont="1" applyFill="1" applyBorder="1" applyAlignment="1">
      <alignment horizontal="center" vertical="center"/>
    </xf>
    <xf numFmtId="182" fontId="1" fillId="0" borderId="64" xfId="0" applyNumberFormat="1" applyFont="1" applyFill="1" applyBorder="1" applyAlignment="1">
      <alignment horizontal="center" vertical="center"/>
    </xf>
    <xf numFmtId="182" fontId="6" fillId="0" borderId="104" xfId="0" applyNumberFormat="1" applyFont="1" applyFill="1" applyBorder="1" applyAlignment="1">
      <alignment horizontal="center" vertical="center" wrapText="1"/>
    </xf>
    <xf numFmtId="179" fontId="1" fillId="3" borderId="40" xfId="4" applyNumberFormat="1" applyFont="1" applyFill="1" applyBorder="1" applyAlignment="1">
      <alignment horizontal="center" vertical="center"/>
    </xf>
    <xf numFmtId="179" fontId="1" fillId="3" borderId="54" xfId="4" applyNumberFormat="1" applyFont="1" applyFill="1" applyBorder="1" applyAlignment="1">
      <alignment horizontal="center" vertical="center"/>
    </xf>
    <xf numFmtId="179" fontId="1" fillId="3" borderId="55" xfId="4" applyNumberFormat="1" applyFont="1" applyFill="1" applyBorder="1" applyAlignment="1">
      <alignment horizontal="center" vertical="center"/>
    </xf>
    <xf numFmtId="179" fontId="1" fillId="3" borderId="56" xfId="4" applyNumberFormat="1" applyFont="1" applyFill="1" applyBorder="1" applyAlignment="1">
      <alignment horizontal="center" vertical="center"/>
    </xf>
    <xf numFmtId="182" fontId="1" fillId="0" borderId="54" xfId="0" applyNumberFormat="1" applyFont="1" applyFill="1" applyBorder="1" applyAlignment="1">
      <alignment horizontal="center" vertical="center"/>
    </xf>
    <xf numFmtId="182" fontId="1" fillId="0" borderId="55" xfId="0" applyNumberFormat="1" applyFont="1" applyFill="1" applyBorder="1" applyAlignment="1">
      <alignment horizontal="center" vertical="center"/>
    </xf>
    <xf numFmtId="182" fontId="1" fillId="0" borderId="121" xfId="0" applyNumberFormat="1" applyFont="1" applyFill="1" applyBorder="1" applyAlignment="1">
      <alignment horizontal="center" vertical="center"/>
    </xf>
    <xf numFmtId="182" fontId="1" fillId="0" borderId="116" xfId="0" applyNumberFormat="1" applyFont="1" applyFill="1" applyBorder="1" applyAlignment="1">
      <alignment horizontal="center" vertical="center" wrapText="1"/>
    </xf>
    <xf numFmtId="179" fontId="1" fillId="3" borderId="4" xfId="4" applyNumberFormat="1" applyFont="1" applyFill="1" applyBorder="1" applyAlignment="1">
      <alignment horizontal="center" vertical="center"/>
    </xf>
    <xf numFmtId="179" fontId="1" fillId="3" borderId="6" xfId="4" applyNumberFormat="1" applyFont="1" applyFill="1" applyBorder="1" applyAlignment="1">
      <alignment horizontal="center" vertical="center"/>
    </xf>
    <xf numFmtId="182" fontId="0" fillId="3" borderId="131" xfId="0" applyNumberFormat="1" applyFont="1" applyFill="1" applyBorder="1" applyAlignment="1">
      <alignment horizontal="center" vertical="center" shrinkToFit="1"/>
    </xf>
    <xf numFmtId="182" fontId="0" fillId="3" borderId="55" xfId="0" applyNumberFormat="1" applyFont="1" applyFill="1" applyBorder="1" applyAlignment="1">
      <alignment horizontal="center" vertical="center" shrinkToFit="1"/>
    </xf>
    <xf numFmtId="182" fontId="0" fillId="3" borderId="132" xfId="0" applyNumberFormat="1" applyFont="1" applyFill="1" applyBorder="1" applyAlignment="1">
      <alignment horizontal="center" vertical="center" shrinkToFit="1"/>
    </xf>
    <xf numFmtId="182" fontId="0" fillId="0" borderId="63" xfId="0" applyNumberFormat="1" applyFont="1" applyFill="1" applyBorder="1" applyAlignment="1">
      <alignment horizontal="center" vertical="center" shrinkToFit="1"/>
    </xf>
    <xf numFmtId="182" fontId="0" fillId="0" borderId="5" xfId="0" applyNumberFormat="1" applyFont="1" applyFill="1" applyBorder="1" applyAlignment="1">
      <alignment horizontal="center" vertical="center" shrinkToFit="1"/>
    </xf>
    <xf numFmtId="182" fontId="0" fillId="0" borderId="64" xfId="0" applyNumberFormat="1" applyFont="1" applyFill="1" applyBorder="1" applyAlignment="1">
      <alignment horizontal="center" vertical="center" shrinkToFit="1"/>
    </xf>
    <xf numFmtId="182" fontId="0" fillId="0" borderId="104" xfId="0" applyNumberFormat="1" applyFont="1" applyFill="1" applyBorder="1" applyAlignment="1">
      <alignment horizontal="center" vertical="center" wrapText="1"/>
    </xf>
    <xf numFmtId="0" fontId="11" fillId="0" borderId="0" xfId="0" applyFont="1" applyFill="1" applyBorder="1" applyAlignment="1">
      <alignment horizontal="right" vertical="top" wrapText="1"/>
    </xf>
    <xf numFmtId="0" fontId="3" fillId="0" borderId="0" xfId="0" applyFont="1" applyFill="1" applyBorder="1" applyAlignment="1">
      <alignment horizontal="right" vertical="center"/>
    </xf>
    <xf numFmtId="0" fontId="1" fillId="0" borderId="0" xfId="3" applyFont="1" applyFill="1" applyBorder="1" applyAlignment="1">
      <alignment vertical="center"/>
    </xf>
    <xf numFmtId="0" fontId="1" fillId="0" borderId="43" xfId="3" applyNumberFormat="1" applyFont="1" applyFill="1" applyBorder="1" applyAlignment="1">
      <alignment vertical="center"/>
    </xf>
    <xf numFmtId="0" fontId="11" fillId="0" borderId="61" xfId="3" applyNumberFormat="1" applyFont="1" applyFill="1" applyBorder="1" applyAlignment="1">
      <alignment vertical="center"/>
    </xf>
    <xf numFmtId="0" fontId="1" fillId="0" borderId="61" xfId="3" applyNumberFormat="1" applyFont="1" applyFill="1" applyBorder="1" applyAlignment="1">
      <alignment vertical="center"/>
    </xf>
    <xf numFmtId="179" fontId="22" fillId="0" borderId="4" xfId="4" applyNumberFormat="1" applyFont="1" applyFill="1" applyBorder="1" applyAlignment="1">
      <alignment horizontal="center" vertical="center"/>
    </xf>
    <xf numFmtId="179" fontId="22" fillId="0" borderId="5" xfId="4" applyNumberFormat="1" applyFont="1" applyFill="1" applyBorder="1" applyAlignment="1">
      <alignment horizontal="center" vertical="center"/>
    </xf>
    <xf numFmtId="179" fontId="22" fillId="0" borderId="6" xfId="4" applyNumberFormat="1" applyFont="1" applyFill="1" applyBorder="1" applyAlignment="1">
      <alignment horizontal="center" vertical="center"/>
    </xf>
    <xf numFmtId="182" fontId="22" fillId="0" borderId="4" xfId="0" applyNumberFormat="1" applyFont="1" applyFill="1" applyBorder="1" applyAlignment="1">
      <alignment horizontal="center" vertical="center"/>
    </xf>
    <xf numFmtId="182" fontId="22" fillId="0" borderId="5" xfId="0" applyNumberFormat="1" applyFont="1" applyFill="1" applyBorder="1" applyAlignment="1">
      <alignment horizontal="center" vertical="center"/>
    </xf>
    <xf numFmtId="182" fontId="22" fillId="0" borderId="64" xfId="0" applyNumberFormat="1" applyFont="1" applyFill="1" applyBorder="1" applyAlignment="1">
      <alignment horizontal="center" vertical="center"/>
    </xf>
    <xf numFmtId="182" fontId="22" fillId="0" borderId="116" xfId="0" applyNumberFormat="1" applyFont="1" applyFill="1" applyBorder="1" applyAlignment="1">
      <alignment horizontal="center" vertical="center" wrapText="1"/>
    </xf>
    <xf numFmtId="0" fontId="1" fillId="0" borderId="1" xfId="3" applyFont="1" applyFill="1" applyBorder="1" applyAlignment="1">
      <alignment horizontal="distributed" vertical="center" wrapText="1" justifyLastLine="1"/>
    </xf>
    <xf numFmtId="0" fontId="1" fillId="0" borderId="43" xfId="3" applyFont="1" applyFill="1" applyBorder="1" applyAlignment="1">
      <alignment horizontal="distributed" vertical="center" wrapText="1" justifyLastLine="1"/>
    </xf>
    <xf numFmtId="38" fontId="1" fillId="0" borderId="44" xfId="1" applyFont="1" applyFill="1" applyBorder="1" applyAlignment="1">
      <alignment horizontal="right" vertical="center" wrapText="1" justifyLastLine="1"/>
    </xf>
    <xf numFmtId="38" fontId="1" fillId="0" borderId="7" xfId="1" applyFont="1" applyFill="1" applyBorder="1" applyAlignment="1">
      <alignment horizontal="right" vertical="center" wrapText="1" justifyLastLine="1"/>
    </xf>
    <xf numFmtId="38" fontId="1" fillId="0" borderId="45" xfId="1" applyFont="1" applyFill="1" applyBorder="1" applyAlignment="1">
      <alignment horizontal="right" vertical="center" wrapText="1" justifyLastLine="1"/>
    </xf>
    <xf numFmtId="38" fontId="1" fillId="0" borderId="85" xfId="1" applyFont="1" applyFill="1" applyBorder="1" applyAlignment="1">
      <alignment horizontal="right" vertical="center" wrapText="1" justifyLastLine="1"/>
    </xf>
    <xf numFmtId="38" fontId="1" fillId="0" borderId="117" xfId="1" applyFont="1" applyFill="1" applyBorder="1" applyAlignment="1">
      <alignment horizontal="right" vertical="center" wrapText="1" justifyLastLine="1"/>
    </xf>
    <xf numFmtId="38" fontId="1" fillId="0" borderId="1" xfId="1" applyFont="1" applyFill="1" applyBorder="1" applyAlignment="1">
      <alignment horizontal="right" vertical="center"/>
    </xf>
    <xf numFmtId="0" fontId="1" fillId="0" borderId="49" xfId="3" applyFont="1" applyFill="1" applyBorder="1" applyAlignment="1">
      <alignment vertical="center"/>
    </xf>
    <xf numFmtId="38" fontId="1" fillId="0" borderId="195" xfId="1" applyFont="1" applyFill="1" applyBorder="1" applyAlignment="1">
      <alignment horizontal="right" vertical="center"/>
    </xf>
    <xf numFmtId="38" fontId="1" fillId="0" borderId="196" xfId="1" applyFont="1" applyFill="1" applyBorder="1" applyAlignment="1">
      <alignment horizontal="right" vertical="center"/>
    </xf>
    <xf numFmtId="38" fontId="1" fillId="0" borderId="197" xfId="1" applyFont="1" applyFill="1" applyBorder="1" applyAlignment="1">
      <alignment horizontal="right" vertical="center"/>
    </xf>
    <xf numFmtId="38" fontId="1" fillId="0" borderId="198" xfId="1" applyFont="1" applyFill="1" applyBorder="1" applyAlignment="1">
      <alignment horizontal="right" vertical="center"/>
    </xf>
    <xf numFmtId="0" fontId="1" fillId="0" borderId="49" xfId="3" applyFont="1" applyFill="1" applyBorder="1" applyAlignment="1">
      <alignment horizontal="distributed" vertical="center" wrapText="1" justifyLastLine="1"/>
    </xf>
    <xf numFmtId="38" fontId="1" fillId="0" borderId="195" xfId="1" applyFont="1" applyFill="1" applyBorder="1" applyAlignment="1">
      <alignment horizontal="right" vertical="center" wrapText="1" justifyLastLine="1"/>
    </xf>
    <xf numFmtId="38" fontId="1" fillId="0" borderId="196" xfId="1" applyFont="1" applyFill="1" applyBorder="1" applyAlignment="1">
      <alignment horizontal="right" vertical="center" wrapText="1" justifyLastLine="1"/>
    </xf>
    <xf numFmtId="38" fontId="1" fillId="0" borderId="197" xfId="1" applyFont="1" applyFill="1" applyBorder="1" applyAlignment="1">
      <alignment horizontal="right" vertical="center" wrapText="1" justifyLastLine="1"/>
    </xf>
    <xf numFmtId="38" fontId="1" fillId="0" borderId="198" xfId="1" applyFont="1" applyFill="1" applyBorder="1" applyAlignment="1">
      <alignment horizontal="right" vertical="center" wrapText="1" justifyLastLine="1"/>
    </xf>
    <xf numFmtId="38" fontId="1" fillId="0" borderId="199" xfId="1" applyFont="1" applyFill="1" applyBorder="1" applyAlignment="1">
      <alignment horizontal="right" vertical="center" wrapText="1" justifyLastLine="1"/>
    </xf>
    <xf numFmtId="38" fontId="1" fillId="0" borderId="49" xfId="1" applyFont="1" applyFill="1" applyBorder="1" applyAlignment="1">
      <alignment horizontal="right" vertical="center"/>
    </xf>
    <xf numFmtId="38" fontId="1" fillId="0" borderId="200" xfId="1" applyFont="1" applyFill="1" applyBorder="1" applyAlignment="1">
      <alignment horizontal="right" vertical="center"/>
    </xf>
    <xf numFmtId="0" fontId="1" fillId="0" borderId="3" xfId="3" applyFont="1" applyFill="1" applyBorder="1" applyAlignment="1">
      <alignment vertical="center"/>
    </xf>
    <xf numFmtId="38" fontId="1" fillId="0" borderId="128" xfId="1" applyFont="1" applyFill="1" applyBorder="1" applyAlignment="1">
      <alignment horizontal="right" vertical="center"/>
    </xf>
    <xf numFmtId="0" fontId="1" fillId="0" borderId="34" xfId="3" applyFont="1" applyFill="1" applyBorder="1" applyAlignment="1">
      <alignment vertical="center"/>
    </xf>
    <xf numFmtId="38" fontId="0" fillId="0" borderId="37" xfId="1" applyFont="1" applyFill="1" applyBorder="1" applyAlignment="1">
      <alignment horizontal="centerContinuous" vertical="center"/>
    </xf>
    <xf numFmtId="38" fontId="1" fillId="0" borderId="38" xfId="1" applyFont="1" applyFill="1" applyBorder="1" applyAlignment="1">
      <alignment horizontal="centerContinuous" vertical="center"/>
    </xf>
    <xf numFmtId="38" fontId="1" fillId="0" borderId="39" xfId="1" applyFont="1" applyFill="1" applyBorder="1" applyAlignment="1">
      <alignment horizontal="centerContinuous" vertical="center"/>
    </xf>
    <xf numFmtId="38" fontId="1" fillId="0" borderId="37" xfId="1" applyFont="1" applyFill="1" applyBorder="1" applyAlignment="1">
      <alignment horizontal="centerContinuous" vertical="center"/>
    </xf>
    <xf numFmtId="38" fontId="1" fillId="0" borderId="91" xfId="1" applyFont="1" applyFill="1" applyBorder="1" applyAlignment="1">
      <alignment horizontal="centerContinuous" vertical="center"/>
    </xf>
    <xf numFmtId="38" fontId="0" fillId="0" borderId="184" xfId="1" applyFont="1" applyFill="1" applyBorder="1" applyAlignment="1">
      <alignment horizontal="center" vertical="center"/>
    </xf>
    <xf numFmtId="0" fontId="1" fillId="0" borderId="30" xfId="3" applyFont="1" applyFill="1" applyBorder="1" applyAlignment="1">
      <alignment vertical="center"/>
    </xf>
    <xf numFmtId="38" fontId="0" fillId="0" borderId="44" xfId="1" applyFont="1" applyFill="1" applyBorder="1" applyAlignment="1">
      <alignment horizontal="centerContinuous" vertical="center"/>
    </xf>
    <xf numFmtId="38" fontId="1" fillId="0" borderId="7" xfId="1" applyFont="1" applyFill="1" applyBorder="1" applyAlignment="1">
      <alignment horizontal="centerContinuous" vertical="center"/>
    </xf>
    <xf numFmtId="38" fontId="1" fillId="0" borderId="45" xfId="1" applyFont="1" applyFill="1" applyBorder="1" applyAlignment="1">
      <alignment horizontal="centerContinuous" vertical="center"/>
    </xf>
    <xf numFmtId="38" fontId="1" fillId="0" borderId="44" xfId="1" applyFont="1" applyFill="1" applyBorder="1" applyAlignment="1">
      <alignment horizontal="centerContinuous" vertical="center"/>
    </xf>
    <xf numFmtId="38" fontId="1" fillId="0" borderId="85" xfId="1" applyFont="1" applyFill="1" applyBorder="1" applyAlignment="1">
      <alignment horizontal="centerContinuous" vertical="center"/>
    </xf>
    <xf numFmtId="38" fontId="0" fillId="0" borderId="117" xfId="1" applyFont="1" applyFill="1" applyBorder="1" applyAlignment="1">
      <alignment horizontal="center" vertical="center"/>
    </xf>
    <xf numFmtId="38" fontId="1" fillId="0" borderId="184" xfId="1" applyFont="1" applyFill="1" applyBorder="1" applyAlignment="1">
      <alignment horizontal="right" vertical="center"/>
    </xf>
    <xf numFmtId="38" fontId="1" fillId="0" borderId="199" xfId="1" applyFont="1" applyFill="1" applyBorder="1" applyAlignment="1">
      <alignment horizontal="right" vertical="center"/>
    </xf>
    <xf numFmtId="38" fontId="1" fillId="0" borderId="103" xfId="1" applyFont="1" applyFill="1" applyBorder="1" applyAlignment="1">
      <alignment horizontal="right" vertical="center"/>
    </xf>
    <xf numFmtId="38" fontId="1" fillId="0" borderId="156" xfId="1" applyFont="1" applyFill="1" applyBorder="1" applyAlignment="1">
      <alignment horizontal="right" vertical="center"/>
    </xf>
    <xf numFmtId="38" fontId="0" fillId="0" borderId="11" xfId="1" applyFont="1" applyFill="1" applyBorder="1" applyAlignment="1">
      <alignment horizontal="centerContinuous" vertical="center"/>
    </xf>
    <xf numFmtId="38" fontId="1" fillId="0" borderId="9" xfId="1" applyFont="1" applyFill="1" applyBorder="1" applyAlignment="1">
      <alignment horizontal="centerContinuous" vertical="center"/>
    </xf>
    <xf numFmtId="38" fontId="1" fillId="0" borderId="10" xfId="1" applyFont="1" applyFill="1" applyBorder="1" applyAlignment="1">
      <alignment horizontal="centerContinuous" vertical="center"/>
    </xf>
    <xf numFmtId="38" fontId="1" fillId="0" borderId="11" xfId="1" applyFont="1" applyFill="1" applyBorder="1" applyAlignment="1">
      <alignment horizontal="centerContinuous" vertical="center"/>
    </xf>
    <xf numFmtId="38" fontId="1" fillId="0" borderId="89" xfId="1" applyFont="1" applyFill="1" applyBorder="1" applyAlignment="1">
      <alignment horizontal="centerContinuous" vertical="center"/>
    </xf>
    <xf numFmtId="38" fontId="0" fillId="0" borderId="125" xfId="1" applyFont="1" applyFill="1" applyBorder="1" applyAlignment="1">
      <alignment horizontal="center" vertical="center"/>
    </xf>
    <xf numFmtId="38" fontId="1" fillId="0" borderId="14" xfId="1" applyFont="1" applyFill="1" applyBorder="1" applyAlignment="1">
      <alignment horizontal="right" vertical="center"/>
    </xf>
    <xf numFmtId="0" fontId="1" fillId="4" borderId="34" xfId="2" applyFont="1" applyFill="1" applyBorder="1" applyAlignment="1">
      <alignment vertical="center"/>
    </xf>
    <xf numFmtId="38" fontId="1" fillId="4" borderId="34" xfId="1" applyFont="1" applyFill="1" applyBorder="1" applyAlignment="1" applyProtection="1">
      <alignment horizontal="right" vertical="center"/>
      <protection locked="0"/>
    </xf>
    <xf numFmtId="38" fontId="1" fillId="4" borderId="38" xfId="1" applyFont="1" applyFill="1" applyBorder="1" applyAlignment="1" applyProtection="1">
      <alignment horizontal="right" vertical="center"/>
      <protection locked="0"/>
    </xf>
    <xf numFmtId="38" fontId="1" fillId="4" borderId="35" xfId="1" applyFont="1" applyFill="1" applyBorder="1" applyAlignment="1" applyProtection="1">
      <alignment horizontal="right" vertical="center"/>
      <protection locked="0"/>
    </xf>
    <xf numFmtId="38" fontId="1" fillId="4" borderId="37" xfId="1" applyFont="1" applyFill="1" applyBorder="1" applyAlignment="1" applyProtection="1">
      <alignment horizontal="right" vertical="center"/>
      <protection locked="0"/>
    </xf>
    <xf numFmtId="38" fontId="1" fillId="4" borderId="185" xfId="1" applyFont="1" applyFill="1" applyBorder="1" applyAlignment="1" applyProtection="1">
      <alignment horizontal="right" vertical="center"/>
      <protection locked="0"/>
    </xf>
    <xf numFmtId="0" fontId="1" fillId="0" borderId="34" xfId="2" applyFont="1" applyFill="1" applyBorder="1" applyAlignment="1">
      <alignment vertical="center"/>
    </xf>
    <xf numFmtId="0" fontId="20" fillId="4" borderId="34" xfId="2" applyFont="1" applyFill="1" applyBorder="1" applyAlignment="1">
      <alignment vertical="center"/>
    </xf>
    <xf numFmtId="38" fontId="1" fillId="4" borderId="48" xfId="1" applyFont="1" applyFill="1" applyBorder="1" applyAlignment="1" applyProtection="1">
      <alignment horizontal="right" vertical="center"/>
      <protection locked="0"/>
    </xf>
    <xf numFmtId="38" fontId="1" fillId="4" borderId="39" xfId="1" applyFont="1" applyFill="1" applyBorder="1" applyAlignment="1" applyProtection="1">
      <alignment horizontal="right" vertical="center"/>
      <protection locked="0"/>
    </xf>
    <xf numFmtId="0" fontId="4" fillId="0" borderId="3" xfId="2" applyFont="1" applyFill="1" applyBorder="1" applyAlignment="1">
      <alignment vertical="center"/>
    </xf>
    <xf numFmtId="0" fontId="23" fillId="0" borderId="31" xfId="0" applyFont="1" applyFill="1" applyBorder="1" applyAlignment="1">
      <alignment vertical="center"/>
    </xf>
    <xf numFmtId="0" fontId="23" fillId="0" borderId="21" xfId="0" applyFont="1" applyFill="1" applyBorder="1" applyAlignment="1">
      <alignment vertical="center"/>
    </xf>
    <xf numFmtId="38" fontId="24" fillId="0" borderId="11" xfId="1" applyFont="1" applyFill="1" applyBorder="1" applyAlignment="1">
      <alignment vertical="center"/>
    </xf>
    <xf numFmtId="38" fontId="24" fillId="0" borderId="9" xfId="1" applyFont="1" applyFill="1" applyBorder="1" applyAlignment="1">
      <alignment vertical="center"/>
    </xf>
    <xf numFmtId="38" fontId="24" fillId="0" borderId="8" xfId="1" applyFont="1" applyFill="1" applyBorder="1" applyAlignment="1">
      <alignment vertical="center"/>
    </xf>
    <xf numFmtId="38" fontId="24" fillId="0" borderId="38" xfId="1" applyFont="1" applyFill="1" applyBorder="1" applyAlignment="1">
      <alignment vertical="center"/>
    </xf>
    <xf numFmtId="38" fontId="24" fillId="0" borderId="39" xfId="1" applyFont="1" applyFill="1" applyBorder="1" applyAlignment="1">
      <alignment vertical="center"/>
    </xf>
    <xf numFmtId="0" fontId="23" fillId="0" borderId="24" xfId="0" applyFont="1" applyFill="1" applyBorder="1" applyAlignment="1">
      <alignment vertical="center"/>
    </xf>
    <xf numFmtId="0" fontId="23" fillId="0" borderId="22" xfId="0" applyFont="1" applyFill="1" applyBorder="1" applyAlignment="1">
      <alignment vertical="center"/>
    </xf>
    <xf numFmtId="38" fontId="24" fillId="0" borderId="18" xfId="1" applyFont="1" applyFill="1" applyBorder="1" applyAlignment="1">
      <alignment vertical="center"/>
    </xf>
    <xf numFmtId="38" fontId="24" fillId="0" borderId="16" xfId="1" applyFont="1" applyFill="1" applyBorder="1" applyAlignment="1">
      <alignment vertical="center"/>
    </xf>
    <xf numFmtId="0" fontId="23" fillId="0" borderId="3" xfId="0" applyFont="1" applyFill="1" applyBorder="1" applyAlignment="1">
      <alignment vertical="center"/>
    </xf>
    <xf numFmtId="0" fontId="23" fillId="0" borderId="40" xfId="0" applyFont="1" applyFill="1" applyBorder="1" applyAlignment="1">
      <alignment vertical="center"/>
    </xf>
    <xf numFmtId="0" fontId="23" fillId="0" borderId="2" xfId="0" applyFont="1" applyFill="1" applyBorder="1" applyAlignment="1">
      <alignment vertical="center"/>
    </xf>
    <xf numFmtId="38" fontId="24" fillId="0" borderId="4" xfId="1" applyFont="1" applyFill="1" applyBorder="1" applyAlignment="1">
      <alignment vertical="center"/>
    </xf>
    <xf numFmtId="38" fontId="24" fillId="0" borderId="5" xfId="1" applyFont="1" applyFill="1" applyBorder="1" applyAlignment="1">
      <alignment vertical="center"/>
    </xf>
    <xf numFmtId="38" fontId="24" fillId="0" borderId="12" xfId="1" applyFont="1" applyFill="1" applyBorder="1" applyAlignment="1">
      <alignment vertical="center"/>
    </xf>
    <xf numFmtId="0" fontId="23" fillId="0" borderId="12" xfId="0" applyFont="1" applyFill="1" applyBorder="1" applyAlignment="1">
      <alignment vertical="center"/>
    </xf>
    <xf numFmtId="38" fontId="24" fillId="0" borderId="29" xfId="1" applyFont="1" applyFill="1" applyBorder="1" applyAlignment="1">
      <alignment vertical="center"/>
    </xf>
    <xf numFmtId="38" fontId="24" fillId="0" borderId="13" xfId="1" applyFont="1" applyFill="1" applyBorder="1" applyAlignment="1">
      <alignment vertical="center"/>
    </xf>
    <xf numFmtId="38" fontId="24" fillId="0" borderId="14" xfId="1" applyFont="1" applyFill="1" applyBorder="1" applyAlignment="1">
      <alignment vertical="center"/>
    </xf>
    <xf numFmtId="0" fontId="23" fillId="0" borderId="8" xfId="0" applyFont="1" applyFill="1" applyBorder="1" applyAlignment="1">
      <alignment vertical="center"/>
    </xf>
    <xf numFmtId="38" fontId="24" fillId="0" borderId="10" xfId="1" applyFont="1" applyFill="1" applyBorder="1" applyAlignment="1">
      <alignment vertical="center"/>
    </xf>
    <xf numFmtId="0" fontId="23" fillId="0" borderId="33" xfId="0" applyFont="1" applyFill="1" applyBorder="1" applyAlignment="1">
      <alignment vertical="center"/>
    </xf>
    <xf numFmtId="0" fontId="23" fillId="0" borderId="34" xfId="0" applyFont="1" applyFill="1" applyBorder="1" applyAlignment="1">
      <alignment vertical="center"/>
    </xf>
    <xf numFmtId="0" fontId="23" fillId="0" borderId="35" xfId="0" applyFont="1" applyFill="1" applyBorder="1" applyAlignment="1">
      <alignment vertical="center"/>
    </xf>
    <xf numFmtId="0" fontId="23" fillId="0" borderId="36" xfId="0" applyFont="1" applyFill="1" applyBorder="1" applyAlignment="1">
      <alignment vertical="center"/>
    </xf>
    <xf numFmtId="38" fontId="24" fillId="0" borderId="37" xfId="1" applyFont="1" applyFill="1" applyBorder="1" applyAlignment="1">
      <alignment vertical="center"/>
    </xf>
    <xf numFmtId="38" fontId="1" fillId="0" borderId="109" xfId="1" applyFont="1" applyFill="1" applyBorder="1" applyAlignment="1">
      <alignment vertical="center"/>
    </xf>
    <xf numFmtId="0" fontId="0" fillId="0" borderId="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9" xfId="0" applyFill="1" applyBorder="1" applyAlignment="1">
      <alignment horizontal="center" vertical="center"/>
    </xf>
    <xf numFmtId="0" fontId="0" fillId="0" borderId="40" xfId="0" applyFill="1" applyBorder="1" applyAlignment="1">
      <alignment horizontal="center" vertical="center"/>
    </xf>
    <xf numFmtId="49" fontId="0" fillId="0" borderId="3" xfId="0" applyNumberFormat="1" applyFill="1" applyBorder="1" applyAlignment="1">
      <alignment horizontal="left" vertical="center"/>
    </xf>
    <xf numFmtId="0" fontId="0" fillId="0" borderId="19" xfId="0" applyFill="1" applyBorder="1" applyAlignment="1">
      <alignment horizontal="left" vertical="center"/>
    </xf>
    <xf numFmtId="0" fontId="0" fillId="0" borderId="40" xfId="0" applyFill="1" applyBorder="1" applyAlignment="1">
      <alignment horizontal="left" vertical="center"/>
    </xf>
    <xf numFmtId="0" fontId="0" fillId="0" borderId="3"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40" xfId="0" applyFill="1" applyBorder="1" applyAlignment="1">
      <alignment horizontal="center" vertical="center" wrapText="1"/>
    </xf>
    <xf numFmtId="49" fontId="0" fillId="3" borderId="142" xfId="0" applyNumberFormat="1" applyFill="1" applyBorder="1" applyAlignment="1">
      <alignment horizontal="center" vertical="center"/>
    </xf>
    <xf numFmtId="0" fontId="0" fillId="3" borderId="90" xfId="0" applyFill="1" applyBorder="1" applyAlignment="1">
      <alignment horizontal="center" vertical="center"/>
    </xf>
    <xf numFmtId="0" fontId="0" fillId="3" borderId="143" xfId="0" applyFill="1" applyBorder="1" applyAlignment="1">
      <alignment horizontal="center" vertical="center"/>
    </xf>
    <xf numFmtId="178" fontId="0" fillId="0" borderId="142" xfId="0" applyNumberFormat="1" applyFill="1" applyBorder="1" applyAlignment="1">
      <alignment horizontal="center" vertical="center"/>
    </xf>
    <xf numFmtId="0" fontId="0" fillId="0" borderId="90" xfId="0" applyFill="1" applyBorder="1" applyAlignment="1">
      <alignment horizontal="center" vertical="center"/>
    </xf>
    <xf numFmtId="0" fontId="0" fillId="0" borderId="143" xfId="0" applyFill="1" applyBorder="1" applyAlignment="1">
      <alignment horizontal="center" vertical="center"/>
    </xf>
    <xf numFmtId="181" fontId="0" fillId="3" borderId="142" xfId="0" applyNumberFormat="1" applyFill="1" applyBorder="1" applyAlignment="1">
      <alignment horizontal="center" vertical="center"/>
    </xf>
    <xf numFmtId="0" fontId="3" fillId="0" borderId="139" xfId="0" applyFont="1" applyBorder="1" applyAlignment="1">
      <alignment horizontal="center" vertical="center"/>
    </xf>
    <xf numFmtId="0" fontId="3" fillId="0" borderId="140" xfId="0" applyFont="1" applyBorder="1" applyAlignment="1">
      <alignment horizontal="center" vertical="center"/>
    </xf>
    <xf numFmtId="0" fontId="3" fillId="0" borderId="141" xfId="0" applyFont="1"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0" xfId="0" applyFont="1" applyAlignment="1">
      <alignment vertical="top" wrapText="1"/>
    </xf>
    <xf numFmtId="0" fontId="0" fillId="0" borderId="0" xfId="0" applyFont="1" applyFill="1" applyAlignment="1">
      <alignment vertical="top" wrapText="1"/>
    </xf>
    <xf numFmtId="0" fontId="13" fillId="0" borderId="138" xfId="0" applyFont="1" applyBorder="1" applyAlignment="1">
      <alignment horizontal="center" vertical="center" textRotation="255"/>
    </xf>
    <xf numFmtId="0" fontId="14" fillId="0" borderId="136" xfId="0" applyFont="1" applyBorder="1" applyAlignment="1">
      <alignment horizontal="center" vertical="center" textRotation="255"/>
    </xf>
    <xf numFmtId="0" fontId="14" fillId="0" borderId="137" xfId="0" applyFont="1" applyBorder="1" applyAlignment="1">
      <alignment horizontal="center" vertical="center" textRotation="255"/>
    </xf>
    <xf numFmtId="0" fontId="13" fillId="0" borderId="3" xfId="0" applyFont="1" applyBorder="1" applyAlignment="1">
      <alignment horizontal="center" vertical="center"/>
    </xf>
    <xf numFmtId="0" fontId="13" fillId="0" borderId="19" xfId="0" applyFont="1" applyBorder="1" applyAlignment="1">
      <alignment horizontal="center" vertical="center"/>
    </xf>
    <xf numFmtId="0" fontId="13" fillId="0" borderId="40" xfId="0" applyFont="1" applyBorder="1" applyAlignment="1">
      <alignment horizontal="center" vertical="center"/>
    </xf>
    <xf numFmtId="0" fontId="0" fillId="0" borderId="19" xfId="0" applyFont="1" applyBorder="1" applyAlignment="1">
      <alignment horizontal="distributed" vertical="center"/>
    </xf>
    <xf numFmtId="0" fontId="14" fillId="0" borderId="19" xfId="0" applyFont="1" applyBorder="1" applyAlignment="1">
      <alignment horizontal="distributed" vertical="center"/>
    </xf>
    <xf numFmtId="0" fontId="14" fillId="0" borderId="40" xfId="0" applyFont="1" applyBorder="1" applyAlignment="1">
      <alignment horizontal="distributed" vertical="center"/>
    </xf>
    <xf numFmtId="0" fontId="0" fillId="0" borderId="20" xfId="0" applyFont="1" applyBorder="1" applyAlignment="1">
      <alignment horizontal="distributed" vertical="center"/>
    </xf>
    <xf numFmtId="0" fontId="14" fillId="0" borderId="32" xfId="0" applyFont="1" applyBorder="1" applyAlignment="1">
      <alignment horizontal="distributed" vertical="center"/>
    </xf>
    <xf numFmtId="0" fontId="0" fillId="0" borderId="22" xfId="0" applyFont="1" applyBorder="1" applyAlignment="1">
      <alignment horizontal="distributed" vertical="center"/>
    </xf>
    <xf numFmtId="0" fontId="14" fillId="0" borderId="102" xfId="0" applyFont="1" applyBorder="1" applyAlignment="1">
      <alignment horizontal="distributed" vertical="center"/>
    </xf>
    <xf numFmtId="0" fontId="14" fillId="2" borderId="19" xfId="0" applyFont="1" applyFill="1" applyBorder="1" applyAlignment="1">
      <alignment horizontal="distributed" vertical="center"/>
    </xf>
    <xf numFmtId="0" fontId="14" fillId="2" borderId="40" xfId="0" applyFont="1" applyFill="1" applyBorder="1" applyAlignment="1">
      <alignment horizontal="distributed" vertical="center"/>
    </xf>
    <xf numFmtId="0" fontId="14" fillId="0" borderId="43" xfId="0" applyFont="1" applyBorder="1" applyAlignment="1" applyProtection="1">
      <alignment horizontal="center" vertical="center"/>
      <protection locked="0"/>
    </xf>
    <xf numFmtId="0" fontId="14" fillId="0" borderId="61" xfId="0" applyFont="1" applyBorder="1" applyAlignment="1" applyProtection="1">
      <alignment horizontal="center" vertical="center"/>
      <protection locked="0"/>
    </xf>
    <xf numFmtId="0" fontId="14" fillId="0" borderId="14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134"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135" xfId="0" applyFont="1" applyBorder="1" applyAlignment="1" applyProtection="1">
      <alignment horizontal="center" vertical="center"/>
      <protection locked="0"/>
    </xf>
    <xf numFmtId="0" fontId="13" fillId="0" borderId="138" xfId="4" applyFont="1" applyBorder="1" applyAlignment="1">
      <alignment horizontal="center" vertical="center" textRotation="255"/>
    </xf>
    <xf numFmtId="0" fontId="14" fillId="0" borderId="136" xfId="4" applyFont="1" applyBorder="1" applyAlignment="1">
      <alignment horizontal="center" vertical="center" textRotation="255"/>
    </xf>
    <xf numFmtId="0" fontId="14" fillId="0" borderId="137" xfId="4" applyFont="1" applyBorder="1" applyAlignment="1">
      <alignment horizontal="center" vertical="center" textRotation="255"/>
    </xf>
    <xf numFmtId="0" fontId="14" fillId="0" borderId="43" xfId="4" applyFont="1" applyBorder="1" applyAlignment="1" applyProtection="1">
      <alignment horizontal="center" vertical="center"/>
      <protection locked="0"/>
    </xf>
    <xf numFmtId="0" fontId="14" fillId="0" borderId="61" xfId="4" applyFont="1" applyBorder="1" applyAlignment="1" applyProtection="1">
      <alignment horizontal="center" vertical="center"/>
      <protection locked="0"/>
    </xf>
    <xf numFmtId="0" fontId="14" fillId="0" borderId="144" xfId="4" applyFont="1" applyBorder="1" applyAlignment="1" applyProtection="1">
      <alignment horizontal="center" vertical="center"/>
      <protection locked="0"/>
    </xf>
    <xf numFmtId="0" fontId="14" fillId="0" borderId="1" xfId="4" applyFont="1" applyBorder="1" applyAlignment="1" applyProtection="1">
      <alignment horizontal="center" vertical="center"/>
      <protection locked="0"/>
    </xf>
    <xf numFmtId="0" fontId="14" fillId="0" borderId="0" xfId="4" applyFont="1" applyBorder="1" applyAlignment="1" applyProtection="1">
      <alignment horizontal="center" vertical="center"/>
      <protection locked="0"/>
    </xf>
    <xf numFmtId="0" fontId="14" fillId="0" borderId="134" xfId="4" applyFont="1" applyBorder="1" applyAlignment="1" applyProtection="1">
      <alignment horizontal="center" vertical="center"/>
      <protection locked="0"/>
    </xf>
    <xf numFmtId="0" fontId="14" fillId="0" borderId="49" xfId="4" applyFont="1" applyBorder="1" applyAlignment="1" applyProtection="1">
      <alignment horizontal="center" vertical="center"/>
      <protection locked="0"/>
    </xf>
    <xf numFmtId="0" fontId="14" fillId="0" borderId="30" xfId="4" applyFont="1" applyBorder="1" applyAlignment="1" applyProtection="1">
      <alignment horizontal="center" vertical="center"/>
      <protection locked="0"/>
    </xf>
    <xf numFmtId="0" fontId="14" fillId="0" borderId="135" xfId="4" applyFont="1" applyBorder="1" applyAlignment="1" applyProtection="1">
      <alignment horizontal="center" vertical="center"/>
      <protection locked="0"/>
    </xf>
    <xf numFmtId="0" fontId="14" fillId="0" borderId="43" xfId="4" applyFont="1" applyBorder="1" applyAlignment="1">
      <alignment horizontal="center" vertical="center"/>
    </xf>
    <xf numFmtId="0" fontId="14" fillId="0" borderId="61" xfId="4" applyFont="1" applyBorder="1" applyAlignment="1">
      <alignment horizontal="center" vertical="center"/>
    </xf>
    <xf numFmtId="0" fontId="14" fillId="0" borderId="144" xfId="4" applyFont="1" applyBorder="1" applyAlignment="1">
      <alignment horizontal="center" vertical="center"/>
    </xf>
    <xf numFmtId="0" fontId="14" fillId="0" borderId="1" xfId="4" applyFont="1" applyBorder="1" applyAlignment="1">
      <alignment horizontal="center" vertical="center"/>
    </xf>
    <xf numFmtId="0" fontId="14" fillId="0" borderId="0" xfId="4" applyFont="1" applyBorder="1" applyAlignment="1">
      <alignment horizontal="center" vertical="center"/>
    </xf>
    <xf numFmtId="0" fontId="14" fillId="0" borderId="134" xfId="4" applyFont="1" applyBorder="1" applyAlignment="1">
      <alignment horizontal="center" vertical="center"/>
    </xf>
    <xf numFmtId="0" fontId="14" fillId="0" borderId="49" xfId="4" applyFont="1" applyBorder="1" applyAlignment="1">
      <alignment horizontal="center" vertical="center"/>
    </xf>
    <xf numFmtId="0" fontId="14" fillId="0" borderId="30" xfId="4" applyFont="1" applyBorder="1" applyAlignment="1">
      <alignment horizontal="center" vertical="center"/>
    </xf>
    <xf numFmtId="0" fontId="14" fillId="0" borderId="135" xfId="4" applyFont="1" applyBorder="1" applyAlignment="1">
      <alignment horizontal="center" vertical="center"/>
    </xf>
    <xf numFmtId="0" fontId="13" fillId="0" borderId="3" xfId="4" applyFont="1" applyBorder="1" applyAlignment="1">
      <alignment horizontal="center" vertical="center"/>
    </xf>
    <xf numFmtId="0" fontId="13" fillId="0" borderId="19" xfId="4" applyFont="1" applyBorder="1" applyAlignment="1">
      <alignment horizontal="center" vertical="center"/>
    </xf>
    <xf numFmtId="0" fontId="13" fillId="0" borderId="40" xfId="4" applyFont="1" applyBorder="1" applyAlignment="1">
      <alignment horizontal="center" vertical="center"/>
    </xf>
    <xf numFmtId="0" fontId="14" fillId="0" borderId="43" xfId="0" applyFont="1" applyBorder="1" applyAlignment="1">
      <alignment horizontal="center" vertical="center"/>
    </xf>
    <xf numFmtId="0" fontId="14" fillId="0" borderId="61" xfId="0" applyFont="1" applyBorder="1" applyAlignment="1">
      <alignment horizontal="center" vertical="center"/>
    </xf>
    <xf numFmtId="0" fontId="14" fillId="0" borderId="144"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Border="1" applyAlignment="1">
      <alignment horizontal="center" vertical="center"/>
    </xf>
    <xf numFmtId="0" fontId="14" fillId="0" borderId="134" xfId="0" applyFont="1" applyBorder="1" applyAlignment="1">
      <alignment horizontal="center" vertical="center"/>
    </xf>
    <xf numFmtId="0" fontId="14" fillId="0" borderId="49" xfId="0" applyFont="1" applyBorder="1" applyAlignment="1">
      <alignment horizontal="center" vertical="center"/>
    </xf>
    <xf numFmtId="0" fontId="14" fillId="0" borderId="30" xfId="0" applyFont="1" applyBorder="1" applyAlignment="1">
      <alignment horizontal="center" vertical="center"/>
    </xf>
    <xf numFmtId="0" fontId="14" fillId="0" borderId="135" xfId="0" applyFont="1" applyBorder="1" applyAlignment="1">
      <alignment horizontal="center" vertical="center"/>
    </xf>
    <xf numFmtId="0" fontId="12" fillId="0" borderId="0" xfId="0" applyFont="1" applyFill="1" applyBorder="1" applyAlignment="1">
      <alignment horizontal="right" vertical="top" wrapText="1"/>
    </xf>
    <xf numFmtId="0" fontId="0" fillId="0" borderId="0" xfId="0" applyFill="1" applyAlignment="1">
      <alignment vertical="center"/>
    </xf>
    <xf numFmtId="0" fontId="4" fillId="0" borderId="2" xfId="0" applyFont="1" applyFill="1" applyBorder="1" applyAlignment="1">
      <alignment horizontal="center" vertical="center" textRotation="255"/>
    </xf>
    <xf numFmtId="0" fontId="4" fillId="0" borderId="138" xfId="0" applyFont="1" applyFill="1" applyBorder="1" applyAlignment="1">
      <alignment horizontal="center" vertical="center" textRotation="255"/>
    </xf>
    <xf numFmtId="0" fontId="4" fillId="0" borderId="136" xfId="0" applyFont="1" applyFill="1" applyBorder="1" applyAlignment="1">
      <alignment horizontal="center" vertical="center" textRotation="255"/>
    </xf>
    <xf numFmtId="0" fontId="4" fillId="0" borderId="137" xfId="0" applyFont="1" applyFill="1" applyBorder="1" applyAlignment="1">
      <alignment horizontal="center" vertical="center" textRotation="255"/>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1" xfId="0" applyFont="1" applyFill="1" applyBorder="1" applyAlignment="1">
      <alignment horizontal="left" vertical="center" shrinkToFit="1"/>
    </xf>
    <xf numFmtId="0" fontId="13" fillId="0" borderId="33" xfId="0" applyFont="1" applyFill="1" applyBorder="1" applyAlignment="1">
      <alignment horizontal="left" vertical="center" shrinkToFit="1"/>
    </xf>
    <xf numFmtId="0" fontId="11" fillId="0" borderId="0" xfId="0" applyFont="1" applyFill="1" applyBorder="1" applyAlignment="1">
      <alignment horizontal="right" vertical="top" wrapText="1"/>
    </xf>
    <xf numFmtId="0" fontId="11" fillId="0" borderId="0" xfId="0" applyFont="1" applyFill="1" applyAlignment="1">
      <alignment horizontal="right" vertical="top" wrapText="1"/>
    </xf>
    <xf numFmtId="0" fontId="0" fillId="0" borderId="136" xfId="0" applyBorder="1" applyAlignment="1">
      <alignment horizontal="center" vertical="center" textRotation="255"/>
    </xf>
    <xf numFmtId="0" fontId="0" fillId="0" borderId="137" xfId="0" applyBorder="1" applyAlignment="1">
      <alignment horizontal="center" vertical="center" textRotation="255"/>
    </xf>
    <xf numFmtId="0" fontId="4" fillId="0" borderId="151" xfId="2" applyNumberFormat="1" applyFont="1" applyFill="1" applyBorder="1" applyAlignment="1">
      <alignment horizontal="center" vertical="center" wrapText="1"/>
    </xf>
    <xf numFmtId="0" fontId="4" fillId="0" borderId="151" xfId="0" applyFont="1" applyFill="1" applyBorder="1" applyAlignment="1">
      <alignment horizontal="center" vertical="center" wrapText="1"/>
    </xf>
    <xf numFmtId="0" fontId="4" fillId="0" borderId="152" xfId="0" applyFont="1" applyFill="1" applyBorder="1" applyAlignment="1">
      <alignment horizontal="center" vertical="center" wrapText="1"/>
    </xf>
    <xf numFmtId="0" fontId="0" fillId="0" borderId="153" xfId="2" applyFont="1" applyFill="1" applyBorder="1" applyAlignment="1">
      <alignment horizontal="center" vertical="center" textRotation="255"/>
    </xf>
    <xf numFmtId="0" fontId="0" fillId="0" borderId="154" xfId="0" applyBorder="1" applyAlignment="1">
      <alignment horizontal="center" vertical="center" textRotation="255"/>
    </xf>
    <xf numFmtId="0" fontId="0" fillId="0" borderId="138" xfId="2" applyFont="1" applyFill="1" applyBorder="1" applyAlignment="1">
      <alignment horizontal="center" vertical="center" textRotation="255"/>
    </xf>
    <xf numFmtId="0" fontId="1" fillId="0" borderId="61" xfId="2" applyFont="1" applyFill="1" applyBorder="1" applyAlignment="1">
      <alignment horizontal="distributed" vertical="center"/>
    </xf>
    <xf numFmtId="0" fontId="1" fillId="0" borderId="21" xfId="2" applyFont="1" applyFill="1" applyBorder="1" applyAlignment="1">
      <alignment horizontal="distributed" vertical="center"/>
    </xf>
    <xf numFmtId="0" fontId="1" fillId="0" borderId="21" xfId="0" applyFont="1" applyFill="1" applyBorder="1" applyAlignment="1">
      <alignment horizontal="distributed" vertical="center"/>
    </xf>
    <xf numFmtId="0" fontId="1" fillId="0" borderId="33" xfId="0" applyFont="1" applyFill="1" applyBorder="1" applyAlignment="1">
      <alignment horizontal="distributed" vertical="center"/>
    </xf>
    <xf numFmtId="0" fontId="5" fillId="0" borderId="21" xfId="2" applyFont="1" applyFill="1" applyBorder="1" applyAlignment="1">
      <alignment horizontal="distributed" vertical="center"/>
    </xf>
    <xf numFmtId="0" fontId="6" fillId="0" borderId="21" xfId="2" applyFont="1" applyFill="1" applyBorder="1" applyAlignment="1">
      <alignment horizontal="distributed" vertical="center"/>
    </xf>
    <xf numFmtId="0" fontId="1" fillId="4" borderId="95" xfId="2" applyFont="1" applyFill="1" applyBorder="1" applyAlignment="1">
      <alignment horizontal="distributed" vertical="center"/>
    </xf>
    <xf numFmtId="0" fontId="1" fillId="0" borderId="19" xfId="2" applyFont="1" applyFill="1" applyBorder="1" applyAlignment="1">
      <alignment horizontal="distributed" vertical="center" indent="2"/>
    </xf>
    <xf numFmtId="0" fontId="1" fillId="0" borderId="40" xfId="2" applyFont="1" applyFill="1" applyBorder="1" applyAlignment="1">
      <alignment horizontal="distributed" vertical="center" indent="2"/>
    </xf>
    <xf numFmtId="0" fontId="1" fillId="0" borderId="20" xfId="2" applyFont="1" applyFill="1" applyBorder="1" applyAlignment="1">
      <alignment horizontal="distributed" vertical="center"/>
    </xf>
    <xf numFmtId="0" fontId="1" fillId="0" borderId="95" xfId="2" applyFont="1" applyFill="1" applyBorder="1" applyAlignment="1">
      <alignment horizontal="distributed" vertical="center"/>
    </xf>
    <xf numFmtId="0" fontId="1" fillId="0" borderId="19" xfId="2" applyFont="1" applyFill="1" applyBorder="1" applyAlignment="1">
      <alignment horizontal="distributed" vertical="center"/>
    </xf>
    <xf numFmtId="0" fontId="1" fillId="0" borderId="19" xfId="0" applyFont="1" applyFill="1" applyBorder="1" applyAlignment="1">
      <alignment horizontal="distributed" vertical="center"/>
    </xf>
    <xf numFmtId="0" fontId="1" fillId="0" borderId="40" xfId="0" applyFont="1" applyFill="1" applyBorder="1" applyAlignment="1">
      <alignment horizontal="distributed" vertical="center"/>
    </xf>
    <xf numFmtId="0" fontId="1" fillId="4" borderId="19" xfId="2" applyFont="1" applyFill="1" applyBorder="1" applyAlignment="1">
      <alignment horizontal="distributed" vertical="center"/>
    </xf>
    <xf numFmtId="0" fontId="1" fillId="4" borderId="19" xfId="0" applyFont="1" applyFill="1" applyBorder="1" applyAlignment="1">
      <alignment horizontal="distributed" vertical="center"/>
    </xf>
    <xf numFmtId="0" fontId="1" fillId="4" borderId="40" xfId="0" applyFont="1" applyFill="1" applyBorder="1" applyAlignment="1">
      <alignment horizontal="distributed" vertical="center"/>
    </xf>
    <xf numFmtId="0" fontId="0" fillId="0" borderId="43" xfId="0" applyFont="1" applyFill="1" applyBorder="1" applyAlignment="1">
      <alignment horizontal="distributed" vertical="center"/>
    </xf>
    <xf numFmtId="0" fontId="0" fillId="0" borderId="61" xfId="0" applyFont="1" applyFill="1" applyBorder="1" applyAlignment="1">
      <alignment horizontal="distributed" vertical="center"/>
    </xf>
    <xf numFmtId="0" fontId="0" fillId="0" borderId="144" xfId="0" applyFont="1" applyFill="1" applyBorder="1" applyAlignment="1">
      <alignment horizontal="distributed" vertical="center"/>
    </xf>
    <xf numFmtId="0" fontId="0" fillId="0" borderId="157" xfId="0" applyBorder="1" applyAlignment="1">
      <alignment horizontal="center" vertical="center" textRotation="255"/>
    </xf>
    <xf numFmtId="0" fontId="0" fillId="0" borderId="149" xfId="0" applyBorder="1" applyAlignment="1">
      <alignment horizontal="center" vertical="center" textRotation="255"/>
    </xf>
    <xf numFmtId="0" fontId="0" fillId="0" borderId="158" xfId="2" applyFont="1" applyFill="1" applyBorder="1" applyAlignment="1">
      <alignment horizontal="center" vertical="center" textRotation="255"/>
    </xf>
    <xf numFmtId="0" fontId="1" fillId="0" borderId="160" xfId="2" applyFont="1" applyFill="1" applyBorder="1" applyAlignment="1">
      <alignment horizontal="distributed" vertical="center"/>
    </xf>
    <xf numFmtId="0" fontId="0" fillId="0" borderId="138" xfId="2" applyFont="1" applyFill="1" applyBorder="1" applyAlignment="1">
      <alignment vertical="center" textRotation="255"/>
    </xf>
    <xf numFmtId="0" fontId="0" fillId="0" borderId="136" xfId="0" applyBorder="1" applyAlignment="1">
      <alignment vertical="center" textRotation="255"/>
    </xf>
    <xf numFmtId="0" fontId="0" fillId="0" borderId="137" xfId="0" applyBorder="1" applyAlignment="1">
      <alignment vertical="center" textRotation="255"/>
    </xf>
    <xf numFmtId="0" fontId="1" fillId="4" borderId="40" xfId="2"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19" xfId="0" applyFont="1" applyFill="1" applyBorder="1" applyAlignment="1">
      <alignment horizontal="distributed" vertical="center"/>
    </xf>
    <xf numFmtId="0" fontId="0" fillId="0" borderId="40" xfId="0" applyFont="1" applyFill="1" applyBorder="1" applyAlignment="1">
      <alignment horizontal="distributed" vertical="center"/>
    </xf>
    <xf numFmtId="0" fontId="0" fillId="0" borderId="145" xfId="0" applyFont="1" applyFill="1" applyBorder="1" applyAlignment="1">
      <alignment horizontal="distributed" vertical="center"/>
    </xf>
    <xf numFmtId="0" fontId="0" fillId="0" borderId="162" xfId="0" applyFont="1" applyFill="1" applyBorder="1" applyAlignment="1">
      <alignment horizontal="distributed" vertical="center"/>
    </xf>
    <xf numFmtId="0" fontId="0" fillId="0" borderId="20" xfId="2" applyFont="1" applyFill="1" applyBorder="1" applyAlignment="1">
      <alignment horizontal="distributed" vertical="center"/>
    </xf>
    <xf numFmtId="0" fontId="0" fillId="0" borderId="21" xfId="2" applyFont="1" applyFill="1" applyBorder="1" applyAlignment="1">
      <alignment horizontal="distributed" vertical="center"/>
    </xf>
    <xf numFmtId="0" fontId="7" fillId="0" borderId="21" xfId="2" applyFont="1" applyFill="1" applyBorder="1" applyAlignment="1">
      <alignment horizontal="distributed" vertical="center"/>
    </xf>
    <xf numFmtId="0" fontId="1" fillId="0" borderId="33" xfId="2" applyFont="1" applyFill="1" applyBorder="1" applyAlignment="1">
      <alignment horizontal="distributed" vertical="center"/>
    </xf>
    <xf numFmtId="0" fontId="1" fillId="4" borderId="95" xfId="0" applyFont="1" applyFill="1" applyBorder="1" applyAlignment="1">
      <alignment horizontal="distributed" vertical="center"/>
    </xf>
    <xf numFmtId="0" fontId="1" fillId="4" borderId="35" xfId="0" applyFont="1" applyFill="1" applyBorder="1" applyAlignment="1">
      <alignment horizontal="distributed" vertical="center"/>
    </xf>
    <xf numFmtId="0" fontId="4" fillId="0" borderId="90" xfId="3" applyFont="1" applyFill="1" applyBorder="1" applyAlignment="1">
      <alignment horizontal="left" vertical="center"/>
    </xf>
    <xf numFmtId="0" fontId="4" fillId="0" borderId="90" xfId="0" applyFont="1" applyFill="1" applyBorder="1" applyAlignment="1">
      <alignment horizontal="left" vertical="center"/>
    </xf>
    <xf numFmtId="0" fontId="0" fillId="0" borderId="42" xfId="0" applyBorder="1" applyAlignment="1">
      <alignment vertical="center"/>
    </xf>
    <xf numFmtId="0" fontId="0" fillId="0" borderId="157" xfId="2" applyFont="1" applyFill="1" applyBorder="1" applyAlignment="1">
      <alignment horizontal="center" vertical="center" textRotation="255"/>
    </xf>
    <xf numFmtId="0" fontId="1" fillId="0" borderId="3" xfId="2" applyFont="1" applyFill="1" applyBorder="1" applyAlignment="1">
      <alignment horizontal="distributed" vertical="center"/>
    </xf>
    <xf numFmtId="0" fontId="0" fillId="0" borderId="19" xfId="2" applyFont="1" applyFill="1" applyBorder="1" applyAlignment="1">
      <alignment horizontal="distributed" vertical="center"/>
    </xf>
    <xf numFmtId="0" fontId="0" fillId="0" borderId="19" xfId="0" applyFill="1" applyBorder="1" applyAlignment="1">
      <alignment horizontal="distributed" vertical="center"/>
    </xf>
    <xf numFmtId="0" fontId="0" fillId="0" borderId="40" xfId="0" applyFill="1" applyBorder="1" applyAlignment="1">
      <alignment horizontal="distributed" vertical="center"/>
    </xf>
    <xf numFmtId="0" fontId="1" fillId="0" borderId="145" xfId="2" applyFont="1" applyFill="1" applyBorder="1" applyAlignment="1">
      <alignment horizontal="distributed" vertical="center"/>
    </xf>
    <xf numFmtId="0" fontId="1" fillId="0" borderId="145" xfId="0" applyFont="1" applyFill="1" applyBorder="1" applyAlignment="1">
      <alignment horizontal="distributed" vertical="center"/>
    </xf>
    <xf numFmtId="0" fontId="1" fillId="0" borderId="162" xfId="0" applyFont="1" applyFill="1" applyBorder="1" applyAlignment="1">
      <alignment horizontal="distributed" vertical="center"/>
    </xf>
    <xf numFmtId="0" fontId="0" fillId="0" borderId="61" xfId="2" applyFont="1" applyFill="1" applyBorder="1" applyAlignment="1">
      <alignment horizontal="distributed" vertical="center"/>
    </xf>
    <xf numFmtId="180" fontId="4" fillId="0" borderId="146" xfId="0" applyNumberFormat="1" applyFont="1" applyFill="1" applyBorder="1" applyAlignment="1">
      <alignment horizontal="left" vertical="center"/>
    </xf>
    <xf numFmtId="180" fontId="4" fillId="0" borderId="2" xfId="0" applyNumberFormat="1"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180" fontId="4" fillId="0" borderId="147" xfId="0" applyNumberFormat="1" applyFont="1" applyFill="1" applyBorder="1" applyAlignment="1">
      <alignment horizontal="left" vertical="center"/>
    </xf>
    <xf numFmtId="180" fontId="4" fillId="0" borderId="148" xfId="0" applyNumberFormat="1" applyFont="1" applyFill="1" applyBorder="1" applyAlignment="1">
      <alignment horizontal="left" vertical="center"/>
    </xf>
    <xf numFmtId="0" fontId="0" fillId="0" borderId="148" xfId="0" applyFont="1" applyFill="1" applyBorder="1" applyAlignment="1">
      <alignment horizontal="left" vertical="center"/>
    </xf>
    <xf numFmtId="0" fontId="0" fillId="0" borderId="168" xfId="0" applyFont="1" applyFill="1" applyBorder="1" applyAlignment="1">
      <alignment horizontal="left" vertical="center"/>
    </xf>
    <xf numFmtId="180" fontId="4" fillId="0" borderId="149" xfId="0" applyNumberFormat="1" applyFont="1" applyFill="1" applyBorder="1" applyAlignment="1">
      <alignment horizontal="left" vertical="center"/>
    </xf>
    <xf numFmtId="180" fontId="4" fillId="0" borderId="137" xfId="0" applyNumberFormat="1" applyFont="1" applyFill="1" applyBorder="1" applyAlignment="1">
      <alignment horizontal="left" vertical="center"/>
    </xf>
    <xf numFmtId="0" fontId="0" fillId="0" borderId="137" xfId="0" applyFont="1" applyFill="1" applyBorder="1" applyAlignment="1">
      <alignment horizontal="left" vertical="center"/>
    </xf>
    <xf numFmtId="0" fontId="0" fillId="0" borderId="49" xfId="0" applyFont="1" applyFill="1" applyBorder="1" applyAlignment="1">
      <alignment horizontal="left" vertical="center"/>
    </xf>
    <xf numFmtId="0" fontId="8" fillId="0" borderId="3"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40" xfId="0" applyFont="1" applyFill="1" applyBorder="1" applyAlignment="1">
      <alignment horizontal="center" vertical="center"/>
    </xf>
    <xf numFmtId="0" fontId="0" fillId="0" borderId="0" xfId="0"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1" fillId="0" borderId="1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3" xfId="0" applyFont="1" applyFill="1" applyBorder="1" applyAlignment="1">
      <alignment horizontal="left" vertical="center" shrinkToFit="1"/>
    </xf>
    <xf numFmtId="0" fontId="1" fillId="0" borderId="8" xfId="0" applyFont="1" applyFill="1" applyBorder="1" applyAlignment="1">
      <alignment horizontal="left" vertical="center" shrinkToFit="1"/>
    </xf>
    <xf numFmtId="0" fontId="0" fillId="0" borderId="0" xfId="3" applyFont="1" applyFill="1" applyBorder="1" applyAlignment="1">
      <alignment horizontal="right" vertical="top" wrapText="1"/>
    </xf>
    <xf numFmtId="0" fontId="3" fillId="0" borderId="30" xfId="0" applyFont="1" applyFill="1" applyBorder="1" applyAlignment="1">
      <alignment vertical="center"/>
    </xf>
    <xf numFmtId="0" fontId="0" fillId="0" borderId="30" xfId="0" applyFill="1" applyBorder="1" applyAlignment="1">
      <alignment vertical="center"/>
    </xf>
    <xf numFmtId="0" fontId="4" fillId="0" borderId="19" xfId="0" applyFont="1" applyFill="1" applyBorder="1" applyAlignment="1">
      <alignment horizontal="center" vertical="center"/>
    </xf>
    <xf numFmtId="0" fontId="4" fillId="0" borderId="40" xfId="0" applyFont="1" applyFill="1" applyBorder="1" applyAlignment="1">
      <alignment horizontal="center" vertical="center"/>
    </xf>
    <xf numFmtId="0" fontId="0" fillId="0" borderId="43" xfId="3" applyFont="1" applyFill="1" applyBorder="1" applyAlignment="1">
      <alignment horizontal="center" vertical="center" textRotation="255"/>
    </xf>
    <xf numFmtId="0" fontId="0" fillId="0" borderId="1" xfId="0" applyBorder="1" applyAlignment="1">
      <alignment horizontal="center" vertical="center" textRotation="255"/>
    </xf>
    <xf numFmtId="0" fontId="0" fillId="0" borderId="51" xfId="0" applyBorder="1" applyAlignment="1">
      <alignment horizontal="center" vertical="center" textRotation="255"/>
    </xf>
    <xf numFmtId="0" fontId="0" fillId="0" borderId="138" xfId="3" applyFont="1" applyFill="1" applyBorder="1" applyAlignment="1">
      <alignment vertical="center" textRotation="255"/>
    </xf>
    <xf numFmtId="0" fontId="1" fillId="0" borderId="61" xfId="3" applyFont="1" applyFill="1" applyBorder="1" applyAlignment="1">
      <alignment horizontal="distributed" vertical="center"/>
    </xf>
    <xf numFmtId="0" fontId="1" fillId="0" borderId="0" xfId="3" applyFont="1" applyFill="1" applyBorder="1" applyAlignment="1">
      <alignment horizontal="distributed" vertical="center"/>
    </xf>
    <xf numFmtId="0" fontId="0" fillId="0" borderId="0" xfId="3" applyFont="1" applyFill="1" applyBorder="1" applyAlignment="1">
      <alignment horizontal="distributed" vertical="center"/>
    </xf>
    <xf numFmtId="0" fontId="1" fillId="0" borderId="25" xfId="3" applyFont="1" applyFill="1" applyBorder="1" applyAlignment="1">
      <alignment horizontal="distributed" vertical="center"/>
    </xf>
    <xf numFmtId="0" fontId="3" fillId="0" borderId="24" xfId="3" applyFont="1" applyFill="1" applyBorder="1" applyAlignment="1">
      <alignment horizontal="distributed" vertical="center" justifyLastLine="1"/>
    </xf>
    <xf numFmtId="0" fontId="3" fillId="0" borderId="22" xfId="3" applyFont="1" applyFill="1" applyBorder="1" applyAlignment="1">
      <alignment horizontal="distributed" vertical="center" justifyLastLine="1"/>
    </xf>
    <xf numFmtId="0" fontId="3" fillId="0" borderId="102" xfId="3" applyFont="1" applyFill="1" applyBorder="1" applyAlignment="1">
      <alignment horizontal="distributed" vertical="center" justifyLastLine="1"/>
    </xf>
    <xf numFmtId="0" fontId="0" fillId="0" borderId="138" xfId="3" applyFont="1" applyFill="1" applyBorder="1" applyAlignment="1">
      <alignment horizontal="center" vertical="center" textRotation="255"/>
    </xf>
    <xf numFmtId="0" fontId="1" fillId="0" borderId="61" xfId="3" applyFont="1" applyFill="1" applyBorder="1" applyAlignment="1">
      <alignment vertical="center"/>
    </xf>
    <xf numFmtId="0" fontId="1" fillId="0" borderId="22" xfId="3" applyFont="1" applyFill="1" applyBorder="1" applyAlignment="1">
      <alignment horizontal="distributed" vertical="center"/>
    </xf>
    <xf numFmtId="0" fontId="1" fillId="0" borderId="102" xfId="3" applyFont="1" applyFill="1" applyBorder="1" applyAlignment="1">
      <alignment horizontal="distributed" vertical="center"/>
    </xf>
    <xf numFmtId="0" fontId="3" fillId="0" borderId="90" xfId="3" applyFont="1" applyFill="1" applyBorder="1" applyAlignment="1">
      <alignment horizontal="distributed" vertical="center" wrapText="1" justifyLastLine="1"/>
    </xf>
    <xf numFmtId="0" fontId="1" fillId="0" borderId="90" xfId="0" applyFont="1" applyFill="1" applyBorder="1" applyAlignment="1">
      <alignment horizontal="distributed" vertical="center" wrapText="1" justifyLastLine="1"/>
    </xf>
    <xf numFmtId="0" fontId="1" fillId="0" borderId="177" xfId="0" applyFont="1" applyFill="1" applyBorder="1" applyAlignment="1">
      <alignment horizontal="distributed" vertical="center" wrapText="1" justifyLastLine="1"/>
    </xf>
    <xf numFmtId="0" fontId="3" fillId="0" borderId="61" xfId="3" applyFont="1" applyFill="1" applyBorder="1" applyAlignment="1">
      <alignment horizontal="distributed" vertical="center" wrapText="1" justifyLastLine="1"/>
    </xf>
    <xf numFmtId="0" fontId="1" fillId="0" borderId="61" xfId="0" applyFont="1" applyFill="1" applyBorder="1" applyAlignment="1">
      <alignment horizontal="distributed" vertical="center" wrapText="1" justifyLastLine="1"/>
    </xf>
    <xf numFmtId="0" fontId="1" fillId="0" borderId="144" xfId="0" applyFont="1" applyFill="1" applyBorder="1" applyAlignment="1">
      <alignment horizontal="distributed" vertical="center" wrapText="1" justifyLastLine="1"/>
    </xf>
    <xf numFmtId="0" fontId="1" fillId="0" borderId="0" xfId="3" applyFont="1" applyFill="1" applyBorder="1" applyAlignment="1">
      <alignment vertical="center"/>
    </xf>
    <xf numFmtId="0" fontId="0" fillId="0" borderId="53" xfId="3" applyFont="1" applyFill="1"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51" xfId="0" applyBorder="1" applyAlignment="1">
      <alignment horizontal="center" vertical="center" textRotation="255" wrapText="1"/>
    </xf>
    <xf numFmtId="0" fontId="6" fillId="0" borderId="158" xfId="3" applyFont="1" applyFill="1" applyBorder="1" applyAlignment="1">
      <alignment horizontal="center" vertical="center" textRotation="255" wrapText="1"/>
    </xf>
    <xf numFmtId="0" fontId="6" fillId="0" borderId="136" xfId="0" applyFont="1" applyBorder="1" applyAlignment="1">
      <alignment horizontal="center" vertical="center" textRotation="255" wrapText="1"/>
    </xf>
    <xf numFmtId="0" fontId="6" fillId="0" borderId="137" xfId="0" applyFont="1" applyBorder="1" applyAlignment="1">
      <alignment horizontal="center" vertical="center" textRotation="255" wrapText="1"/>
    </xf>
    <xf numFmtId="0" fontId="1" fillId="0" borderId="42" xfId="3" applyFont="1" applyFill="1" applyBorder="1" applyAlignment="1">
      <alignment horizontal="distributed" vertical="center" wrapText="1" justifyLastLine="1"/>
    </xf>
    <xf numFmtId="0" fontId="1" fillId="0" borderId="42" xfId="0" applyFont="1" applyFill="1" applyBorder="1" applyAlignment="1">
      <alignment horizontal="distributed" vertical="center" wrapText="1" justifyLastLine="1"/>
    </xf>
    <xf numFmtId="0" fontId="1" fillId="0" borderId="170" xfId="0" applyFont="1" applyFill="1" applyBorder="1" applyAlignment="1">
      <alignment horizontal="distributed" vertical="center" wrapText="1" justifyLastLine="1"/>
    </xf>
    <xf numFmtId="0" fontId="1" fillId="4" borderId="0" xfId="3" applyFont="1" applyFill="1" applyBorder="1" applyAlignment="1">
      <alignment horizontal="distributed" vertical="center" wrapText="1" justifyLastLine="1"/>
    </xf>
    <xf numFmtId="0" fontId="1" fillId="4" borderId="0" xfId="0" applyFont="1" applyFill="1" applyAlignment="1">
      <alignment horizontal="distributed" vertical="center" wrapText="1" justifyLastLine="1"/>
    </xf>
    <xf numFmtId="0" fontId="1" fillId="4" borderId="134" xfId="0" applyFont="1" applyFill="1" applyBorder="1" applyAlignment="1">
      <alignment horizontal="distributed" vertical="center" wrapText="1" justifyLastLine="1"/>
    </xf>
    <xf numFmtId="0" fontId="1" fillId="0" borderId="95" xfId="3" applyFont="1" applyFill="1" applyBorder="1" applyAlignment="1">
      <alignment horizontal="distributed" vertical="center" wrapText="1" justifyLastLine="1"/>
    </xf>
    <xf numFmtId="0" fontId="1" fillId="0" borderId="95" xfId="0" applyFont="1" applyFill="1" applyBorder="1" applyAlignment="1">
      <alignment horizontal="distributed" vertical="center" wrapText="1" justifyLastLine="1"/>
    </xf>
    <xf numFmtId="0" fontId="1" fillId="0" borderId="35" xfId="0" applyFont="1" applyFill="1" applyBorder="1" applyAlignment="1">
      <alignment horizontal="distributed" vertical="center" wrapText="1" justifyLastLine="1"/>
    </xf>
    <xf numFmtId="0" fontId="6" fillId="0" borderId="138" xfId="3" applyFont="1" applyFill="1" applyBorder="1" applyAlignment="1">
      <alignment horizontal="center" vertical="center" textRotation="255" wrapText="1"/>
    </xf>
    <xf numFmtId="0" fontId="1" fillId="0" borderId="61" xfId="3" applyFont="1" applyFill="1" applyBorder="1" applyAlignment="1">
      <alignment horizontal="distributed" vertical="center" wrapText="1" justifyLastLine="1"/>
    </xf>
    <xf numFmtId="0" fontId="1" fillId="4" borderId="134" xfId="3" applyFont="1" applyFill="1" applyBorder="1" applyAlignment="1">
      <alignment horizontal="distributed" vertical="center" wrapText="1" justifyLastLine="1"/>
    </xf>
    <xf numFmtId="0" fontId="3" fillId="0" borderId="19" xfId="3" applyFont="1" applyFill="1" applyBorder="1" applyAlignment="1">
      <alignment horizontal="distributed" vertical="center" wrapText="1" justifyLastLine="1"/>
    </xf>
    <xf numFmtId="0" fontId="1" fillId="0" borderId="19" xfId="0" applyFont="1" applyFill="1" applyBorder="1" applyAlignment="1">
      <alignment horizontal="distributed" vertical="center" wrapText="1" justifyLastLine="1"/>
    </xf>
    <xf numFmtId="0" fontId="1" fillId="0" borderId="40" xfId="0" applyFont="1" applyFill="1" applyBorder="1" applyAlignment="1">
      <alignment horizontal="distributed" vertical="center" wrapText="1" justifyLastLine="1"/>
    </xf>
    <xf numFmtId="0" fontId="0" fillId="0" borderId="0" xfId="3" applyFont="1" applyFill="1" applyBorder="1" applyAlignment="1">
      <alignment horizontal="distributed" vertical="center" wrapText="1" justifyLastLine="1"/>
    </xf>
    <xf numFmtId="0" fontId="0" fillId="0" borderId="0" xfId="0" applyBorder="1" applyAlignment="1">
      <alignment horizontal="distributed" vertical="center" wrapText="1" justifyLastLine="1"/>
    </xf>
    <xf numFmtId="0" fontId="1" fillId="0" borderId="2" xfId="0" applyFont="1" applyFill="1" applyBorder="1" applyAlignment="1">
      <alignment horizontal="left" vertical="center"/>
    </xf>
    <xf numFmtId="0" fontId="1" fillId="0" borderId="22" xfId="3" applyFont="1" applyFill="1" applyBorder="1" applyAlignment="1">
      <alignment horizontal="distributed" vertical="center" wrapText="1" justifyLastLine="1"/>
    </xf>
    <xf numFmtId="0" fontId="1" fillId="0" borderId="22" xfId="0" applyFont="1" applyFill="1" applyBorder="1" applyAlignment="1">
      <alignment horizontal="distributed" vertical="center" wrapText="1" justifyLastLine="1"/>
    </xf>
    <xf numFmtId="0" fontId="1" fillId="0" borderId="102" xfId="0" applyFont="1" applyFill="1" applyBorder="1" applyAlignment="1">
      <alignment horizontal="distributed" vertical="center" wrapText="1" justifyLastLine="1"/>
    </xf>
    <xf numFmtId="0" fontId="1" fillId="0" borderId="170" xfId="3" applyFont="1" applyFill="1" applyBorder="1" applyAlignment="1">
      <alignment horizontal="distributed" vertical="center" wrapText="1" justifyLastLine="1"/>
    </xf>
    <xf numFmtId="0" fontId="3" fillId="0" borderId="151" xfId="3" applyFont="1" applyFill="1" applyBorder="1" applyAlignment="1">
      <alignment horizontal="distributed" vertical="center" wrapText="1" justifyLastLine="1"/>
    </xf>
    <xf numFmtId="0" fontId="1" fillId="0" borderId="151" xfId="0" applyFont="1" applyFill="1" applyBorder="1" applyAlignment="1">
      <alignment horizontal="distributed" vertical="center" wrapText="1" justifyLastLine="1"/>
    </xf>
    <xf numFmtId="0" fontId="1" fillId="0" borderId="152" xfId="0" applyFont="1" applyFill="1" applyBorder="1" applyAlignment="1">
      <alignment horizontal="distributed" vertical="center" wrapText="1" justifyLastLine="1"/>
    </xf>
    <xf numFmtId="0" fontId="3" fillId="0" borderId="145" xfId="3" applyFont="1" applyFill="1" applyBorder="1" applyAlignment="1">
      <alignment horizontal="distributed" vertical="center" wrapText="1" justifyLastLine="1"/>
    </xf>
    <xf numFmtId="0" fontId="1" fillId="0" borderId="145" xfId="0" applyFont="1" applyFill="1" applyBorder="1" applyAlignment="1">
      <alignment horizontal="distributed" vertical="center" wrapText="1" justifyLastLine="1"/>
    </xf>
    <xf numFmtId="0" fontId="1" fillId="0" borderId="162" xfId="0" applyFont="1" applyFill="1" applyBorder="1" applyAlignment="1">
      <alignment horizontal="distributed" vertical="center" wrapText="1" justifyLastLine="1"/>
    </xf>
    <xf numFmtId="0" fontId="4" fillId="0" borderId="142" xfId="3" applyFont="1" applyFill="1" applyBorder="1" applyAlignment="1">
      <alignment horizontal="left" vertical="center"/>
    </xf>
    <xf numFmtId="0" fontId="1" fillId="0" borderId="183" xfId="0" applyFont="1" applyBorder="1" applyAlignment="1">
      <alignment vertical="center"/>
    </xf>
    <xf numFmtId="0" fontId="1" fillId="0" borderId="137" xfId="0" applyFont="1" applyFill="1" applyBorder="1" applyAlignment="1">
      <alignment horizontal="left" vertical="center"/>
    </xf>
    <xf numFmtId="0" fontId="1" fillId="4" borderId="0" xfId="3" applyFont="1" applyFill="1" applyBorder="1" applyAlignment="1">
      <alignment horizontal="distributed" vertical="center"/>
    </xf>
    <xf numFmtId="0" fontId="0" fillId="4" borderId="0" xfId="3" applyFont="1" applyFill="1" applyBorder="1" applyAlignment="1">
      <alignment horizontal="distributed" vertical="center"/>
    </xf>
    <xf numFmtId="0" fontId="1" fillId="4" borderId="25" xfId="3" applyFont="1" applyFill="1" applyBorder="1" applyAlignment="1">
      <alignment horizontal="distributed" vertical="center"/>
    </xf>
    <xf numFmtId="0" fontId="1" fillId="4" borderId="0" xfId="3" applyFont="1" applyFill="1" applyBorder="1" applyAlignment="1">
      <alignment vertical="center"/>
    </xf>
    <xf numFmtId="0" fontId="1" fillId="0" borderId="150" xfId="0" applyFont="1" applyBorder="1" applyAlignment="1">
      <alignment vertical="center"/>
    </xf>
    <xf numFmtId="0" fontId="4" fillId="0" borderId="19" xfId="3" applyFont="1" applyFill="1" applyBorder="1" applyAlignment="1">
      <alignment horizontal="distributed" vertical="center" wrapText="1"/>
    </xf>
    <xf numFmtId="0" fontId="4" fillId="0" borderId="19" xfId="3" applyFont="1" applyFill="1" applyBorder="1" applyAlignment="1">
      <alignment horizontal="distributed" vertical="center"/>
    </xf>
    <xf numFmtId="0" fontId="4" fillId="0" borderId="30" xfId="3" applyFont="1" applyFill="1" applyBorder="1" applyAlignment="1">
      <alignment horizontal="distributed" vertical="center" wrapText="1"/>
    </xf>
    <xf numFmtId="0" fontId="4" fillId="0" borderId="30" xfId="3" applyFont="1" applyFill="1" applyBorder="1" applyAlignment="1">
      <alignment horizontal="distributed" vertical="center"/>
    </xf>
    <xf numFmtId="0" fontId="4" fillId="0" borderId="0" xfId="3" applyFont="1" applyFill="1" applyBorder="1" applyAlignment="1">
      <alignment horizontal="distributed" vertical="center"/>
    </xf>
    <xf numFmtId="0" fontId="3" fillId="0" borderId="30" xfId="3" applyFont="1" applyFill="1" applyBorder="1" applyAlignment="1">
      <alignment horizontal="distributed" vertical="center" justifyLastLine="1"/>
    </xf>
    <xf numFmtId="0" fontId="3" fillId="0" borderId="135" xfId="3" applyFont="1" applyFill="1" applyBorder="1" applyAlignment="1">
      <alignment horizontal="distributed" vertical="center" justifyLastLine="1"/>
    </xf>
    <xf numFmtId="0" fontId="1" fillId="0" borderId="93" xfId="3" applyFont="1" applyFill="1" applyBorder="1" applyAlignment="1">
      <alignment horizontal="distributed" vertical="center"/>
    </xf>
    <xf numFmtId="0" fontId="1" fillId="0" borderId="198" xfId="3" applyFont="1" applyFill="1" applyBorder="1" applyAlignment="1">
      <alignment horizontal="distributed" vertical="center"/>
    </xf>
    <xf numFmtId="0" fontId="1" fillId="0" borderId="30" xfId="3" applyFont="1" applyFill="1" applyBorder="1" applyAlignment="1">
      <alignment horizontal="distributed" vertical="center"/>
    </xf>
    <xf numFmtId="0" fontId="3" fillId="0" borderId="30" xfId="3" applyFont="1" applyFill="1" applyBorder="1" applyAlignment="1">
      <alignment horizontal="distributed" vertical="center" wrapText="1" justifyLastLine="1"/>
    </xf>
    <xf numFmtId="0" fontId="3" fillId="0" borderId="30" xfId="3" applyNumberFormat="1" applyFont="1" applyFill="1" applyBorder="1" applyAlignment="1">
      <alignment horizontal="distributed" vertical="center"/>
    </xf>
    <xf numFmtId="0" fontId="3" fillId="0" borderId="30" xfId="3" applyFont="1" applyFill="1" applyBorder="1" applyAlignment="1">
      <alignment horizontal="distributed" vertical="center"/>
    </xf>
    <xf numFmtId="0" fontId="11" fillId="0" borderId="61" xfId="3" applyFont="1" applyFill="1" applyBorder="1" applyAlignment="1">
      <alignment horizontal="distributed" vertical="center" wrapText="1" justifyLastLine="1"/>
    </xf>
    <xf numFmtId="0" fontId="1" fillId="0" borderId="88" xfId="3" applyFont="1" applyFill="1" applyBorder="1" applyAlignment="1">
      <alignment horizontal="distributed" vertical="center"/>
    </xf>
    <xf numFmtId="0" fontId="1" fillId="0" borderId="91" xfId="3" applyFont="1" applyFill="1" applyBorder="1" applyAlignment="1">
      <alignment horizontal="distributed" vertical="center"/>
    </xf>
    <xf numFmtId="0" fontId="1" fillId="0" borderId="95" xfId="3" applyFont="1" applyFill="1" applyBorder="1" applyAlignment="1">
      <alignment horizontal="distributed" vertical="center"/>
    </xf>
    <xf numFmtId="0" fontId="0" fillId="0" borderId="61" xfId="3" applyFont="1" applyFill="1" applyBorder="1" applyAlignment="1">
      <alignment horizontal="distributed" vertical="center"/>
    </xf>
    <xf numFmtId="0" fontId="0" fillId="0" borderId="61" xfId="0" applyBorder="1" applyAlignment="1">
      <alignment horizontal="distributed" vertical="center"/>
    </xf>
    <xf numFmtId="0" fontId="0" fillId="0" borderId="144" xfId="0" applyBorder="1" applyAlignment="1">
      <alignment horizontal="distributed" vertical="center"/>
    </xf>
    <xf numFmtId="0" fontId="0" fillId="0" borderId="95" xfId="3" applyFont="1" applyFill="1" applyBorder="1" applyAlignment="1">
      <alignment horizontal="distributed" vertical="center"/>
    </xf>
    <xf numFmtId="0" fontId="0" fillId="0" borderId="95" xfId="0" applyBorder="1" applyAlignment="1">
      <alignment horizontal="distributed" vertical="center"/>
    </xf>
    <xf numFmtId="0" fontId="0" fillId="0" borderId="35" xfId="0" applyBorder="1" applyAlignment="1">
      <alignment horizontal="distributed" vertical="center"/>
    </xf>
    <xf numFmtId="0" fontId="0" fillId="0" borderId="93" xfId="3" applyFont="1" applyFill="1" applyBorder="1" applyAlignment="1">
      <alignment horizontal="distributed" vertical="center"/>
    </xf>
    <xf numFmtId="0" fontId="0" fillId="0" borderId="134" xfId="3" applyFont="1" applyFill="1" applyBorder="1" applyAlignment="1">
      <alignment horizontal="distributed" vertical="center"/>
    </xf>
    <xf numFmtId="0" fontId="1" fillId="0" borderId="35" xfId="3" applyFont="1" applyFill="1" applyBorder="1" applyAlignment="1">
      <alignment horizontal="distributed" vertical="center"/>
    </xf>
    <xf numFmtId="0" fontId="1" fillId="0" borderId="134" xfId="3" applyFont="1" applyFill="1" applyBorder="1" applyAlignment="1">
      <alignment horizontal="distributed" vertical="center"/>
    </xf>
    <xf numFmtId="0" fontId="0" fillId="0" borderId="144" xfId="3" applyFont="1" applyFill="1" applyBorder="1" applyAlignment="1">
      <alignment horizontal="distributed" vertical="center"/>
    </xf>
    <xf numFmtId="0" fontId="0" fillId="0" borderId="88" xfId="3" applyFont="1" applyFill="1" applyBorder="1" applyAlignment="1">
      <alignment horizontal="distributed" vertical="center"/>
    </xf>
    <xf numFmtId="0" fontId="0" fillId="0" borderId="25" xfId="3" applyFont="1" applyFill="1" applyBorder="1" applyAlignment="1">
      <alignment horizontal="distributed" vertical="center"/>
    </xf>
    <xf numFmtId="0" fontId="0" fillId="0" borderId="201" xfId="3" applyFont="1" applyFill="1" applyBorder="1" applyAlignment="1">
      <alignment horizontal="distributed" vertical="center"/>
    </xf>
    <xf numFmtId="0" fontId="0" fillId="0" borderId="35" xfId="3" applyFont="1" applyFill="1" applyBorder="1" applyAlignment="1">
      <alignment horizontal="distributed" vertical="center"/>
    </xf>
    <xf numFmtId="0" fontId="0" fillId="0" borderId="89" xfId="3" applyFont="1" applyFill="1" applyBorder="1" applyAlignment="1">
      <alignment horizontal="distributed" vertical="center"/>
    </xf>
    <xf numFmtId="0" fontId="0" fillId="0" borderId="21" xfId="3" applyFont="1" applyFill="1" applyBorder="1" applyAlignment="1">
      <alignment horizontal="distributed" vertical="center"/>
    </xf>
    <xf numFmtId="0" fontId="0" fillId="0" borderId="33" xfId="3" applyFont="1" applyFill="1" applyBorder="1" applyAlignment="1">
      <alignment horizontal="distributed" vertical="center"/>
    </xf>
    <xf numFmtId="0" fontId="0" fillId="0" borderId="22" xfId="3" applyFont="1" applyFill="1" applyBorder="1" applyAlignment="1">
      <alignment horizontal="distributed" vertical="center"/>
    </xf>
    <xf numFmtId="0" fontId="0" fillId="0" borderId="102" xfId="3" applyFont="1" applyFill="1" applyBorder="1" applyAlignment="1">
      <alignment horizontal="distributed" vertical="center"/>
    </xf>
  </cellXfs>
  <cellStyles count="5">
    <cellStyle name="桁区切り" xfId="1" builtinId="6"/>
    <cellStyle name="標準" xfId="0" builtinId="0"/>
    <cellStyle name="標準_19文部経理研修会原稿田辺その1" xfId="2"/>
    <cellStyle name="標準_キャッシュフロー分析表（速報版様式）" xfId="3"/>
    <cellStyle name="標準_資金繰り入力シート" xfId="4"/>
  </cellStyles>
  <dxfs count="819">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none">
          <bgColor indexed="65"/>
        </patternFill>
      </fill>
    </dxf>
    <dxf>
      <fill>
        <patternFill>
          <bgColor indexed="43"/>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none">
          <bgColor indexed="65"/>
        </patternFill>
      </fill>
    </dxf>
    <dxf>
      <fill>
        <patternFill>
          <bgColor indexed="43"/>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none">
          <bgColor indexed="65"/>
        </patternFill>
      </fill>
    </dxf>
    <dxf>
      <fill>
        <patternFill>
          <bgColor indexed="43"/>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none">
          <bgColor indexed="65"/>
        </patternFill>
      </fill>
    </dxf>
    <dxf>
      <fill>
        <patternFill>
          <bgColor indexed="43"/>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none">
          <bgColor indexed="65"/>
        </patternFill>
      </fill>
    </dxf>
    <dxf>
      <fill>
        <patternFill>
          <bgColor indexed="43"/>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none">
          <bgColor indexed="65"/>
        </patternFill>
      </fill>
    </dxf>
    <dxf>
      <fill>
        <patternFill>
          <bgColor indexed="43"/>
        </patternFill>
      </fill>
    </dxf>
    <dxf>
      <fill>
        <patternFill patternType="none">
          <bgColor indexed="65"/>
        </patternFill>
      </fill>
    </dxf>
    <dxf>
      <fill>
        <patternFill>
          <bgColor indexed="43"/>
        </patternFill>
      </fill>
    </dxf>
    <dxf>
      <fill>
        <patternFill patternType="none">
          <bgColor indexed="65"/>
        </patternFill>
      </fill>
    </dxf>
    <dxf>
      <fill>
        <patternFill>
          <bgColor indexed="43"/>
        </patternFill>
      </fill>
    </dxf>
    <dxf>
      <fill>
        <patternFill patternType="none">
          <bgColor indexed="65"/>
        </patternFill>
      </fill>
    </dxf>
    <dxf>
      <fill>
        <patternFill>
          <bgColor indexed="43"/>
        </patternFill>
      </fill>
    </dxf>
  </dxfs>
  <tableStyles count="0" defaultTableStyle="TableStyleMedium2" defaultPivotStyle="PivotStyleLight16"/>
  <colors>
    <mruColors>
      <color rgb="FFFFFF99"/>
      <color rgb="FFCCFFCC"/>
      <color rgb="FF66FFFF"/>
      <color rgb="FF99FFCC"/>
      <color rgb="FFFF99FF"/>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0</xdr:colOff>
      <xdr:row>3</xdr:row>
      <xdr:rowOff>247650</xdr:rowOff>
    </xdr:from>
    <xdr:to>
      <xdr:col>11</xdr:col>
      <xdr:colOff>0</xdr:colOff>
      <xdr:row>5</xdr:row>
      <xdr:rowOff>85725</xdr:rowOff>
    </xdr:to>
    <xdr:sp macro="" textlink="">
      <xdr:nvSpPr>
        <xdr:cNvPr id="2049" name="Oval 1">
          <a:extLst>
            <a:ext uri="{FF2B5EF4-FFF2-40B4-BE49-F238E27FC236}">
              <a16:creationId xmlns:a16="http://schemas.microsoft.com/office/drawing/2014/main" id="{00000000-0008-0000-0400-000001080000}"/>
            </a:ext>
          </a:extLst>
        </xdr:cNvPr>
        <xdr:cNvSpPr>
          <a:spLocks noChangeArrowheads="1"/>
        </xdr:cNvSpPr>
      </xdr:nvSpPr>
      <xdr:spPr bwMode="auto">
        <a:xfrm>
          <a:off x="10239375" y="1247775"/>
          <a:ext cx="962025" cy="533400"/>
        </a:xfrm>
        <a:prstGeom prst="ellipse">
          <a:avLst/>
        </a:prstGeom>
        <a:noFill/>
        <a:ln w="12700">
          <a:solidFill>
            <a:srgbClr val="FF0000"/>
          </a:solidFill>
          <a:round/>
          <a:headEnd/>
          <a:tailEnd/>
        </a:ln>
      </xdr:spPr>
    </xdr:sp>
    <xdr:clientData/>
  </xdr:twoCellAnchor>
  <xdr:twoCellAnchor editAs="oneCell">
    <xdr:from>
      <xdr:col>11</xdr:col>
      <xdr:colOff>642657</xdr:colOff>
      <xdr:row>5</xdr:row>
      <xdr:rowOff>186577</xdr:rowOff>
    </xdr:from>
    <xdr:to>
      <xdr:col>16</xdr:col>
      <xdr:colOff>414617</xdr:colOff>
      <xdr:row>18</xdr:row>
      <xdr:rowOff>56028</xdr:rowOff>
    </xdr:to>
    <xdr:sp macro="" textlink="">
      <xdr:nvSpPr>
        <xdr:cNvPr id="1026" name="AutoShape 2">
          <a:extLst>
            <a:ext uri="{FF2B5EF4-FFF2-40B4-BE49-F238E27FC236}">
              <a16:creationId xmlns:a16="http://schemas.microsoft.com/office/drawing/2014/main" id="{00000000-0008-0000-0400-000002040000}"/>
            </a:ext>
          </a:extLst>
        </xdr:cNvPr>
        <xdr:cNvSpPr>
          <a:spLocks noChangeArrowheads="1"/>
        </xdr:cNvSpPr>
      </xdr:nvSpPr>
      <xdr:spPr bwMode="auto">
        <a:xfrm>
          <a:off x="11837333" y="1889871"/>
          <a:ext cx="3189755" cy="4094069"/>
        </a:xfrm>
        <a:prstGeom prst="foldedCorner">
          <a:avLst>
            <a:gd name="adj" fmla="val 11175"/>
          </a:avLst>
        </a:prstGeom>
        <a:solidFill>
          <a:schemeClr val="bg1"/>
        </a:solidFill>
        <a:ln w="12700">
          <a:solidFill>
            <a:srgbClr val="FF0000"/>
          </a:solidFill>
          <a:round/>
          <a:headEnd/>
          <a:tailEnd/>
        </a:ln>
      </xdr:spPr>
      <xdr:txBody>
        <a:bodyPr vertOverflow="clip" wrap="square" lIns="27432" tIns="18288" rIns="0" bIns="0" anchor="t" upright="1"/>
        <a:lstStyle/>
        <a:p>
          <a:pPr algn="l" rtl="0">
            <a:lnSpc>
              <a:spcPts val="1500"/>
            </a:lnSpc>
            <a:defRPr sz="1000"/>
          </a:pPr>
          <a:endParaRPr lang="en-US" altLang="ja-JP" sz="1200" b="0" i="0" u="none" strike="noStrike" baseline="0">
            <a:solidFill>
              <a:schemeClr val="tx1"/>
            </a:solidFill>
            <a:latin typeface="+mn-ea"/>
            <a:ea typeface="+mn-ea"/>
          </a:endParaRPr>
        </a:p>
        <a:p>
          <a:pPr rtl="0"/>
          <a:r>
            <a:rPr lang="ja-JP" altLang="en-US" sz="1200" b="0" i="0" baseline="0">
              <a:solidFill>
                <a:schemeClr val="tx1"/>
              </a:solidFill>
              <a:effectLst/>
              <a:latin typeface="+mn-ea"/>
              <a:ea typeface="+mn-ea"/>
              <a:cs typeface="+mn-cs"/>
            </a:rPr>
            <a:t>令和</a:t>
          </a:r>
          <a:r>
            <a:rPr lang="en-US" altLang="ja-JP" sz="1200" b="0" i="0" baseline="0">
              <a:solidFill>
                <a:schemeClr val="tx1"/>
              </a:solidFill>
              <a:effectLst/>
              <a:latin typeface="+mn-ea"/>
              <a:ea typeface="+mn-ea"/>
              <a:cs typeface="+mn-cs"/>
            </a:rPr>
            <a:t>8</a:t>
          </a:r>
          <a:r>
            <a:rPr lang="ja-JP" altLang="ja-JP" sz="1200" b="0" i="0" baseline="0">
              <a:solidFill>
                <a:schemeClr val="tx1"/>
              </a:solidFill>
              <a:effectLst/>
              <a:latin typeface="+mn-ea"/>
              <a:ea typeface="+mn-ea"/>
              <a:cs typeface="+mn-cs"/>
            </a:rPr>
            <a:t>年度を初年度とする法人</a:t>
          </a:r>
          <a:endParaRPr lang="ja-JP" altLang="ja-JP" sz="1200">
            <a:solidFill>
              <a:schemeClr val="tx1"/>
            </a:solidFill>
            <a:effectLst/>
            <a:latin typeface="+mn-ea"/>
            <a:ea typeface="+mn-ea"/>
          </a:endParaRPr>
        </a:p>
        <a:p>
          <a:pPr rtl="0"/>
          <a:r>
            <a:rPr lang="ja-JP" altLang="ja-JP" sz="1200" b="0" i="0" baseline="0">
              <a:solidFill>
                <a:schemeClr val="tx1"/>
              </a:solidFill>
              <a:effectLst/>
              <a:latin typeface="+mn-ea"/>
              <a:ea typeface="+mn-ea"/>
              <a:cs typeface="+mn-cs"/>
            </a:rPr>
            <a:t>（</a:t>
          </a:r>
          <a:r>
            <a:rPr lang="ja-JP" altLang="en-US" sz="1200" b="0" i="0" baseline="0">
              <a:solidFill>
                <a:schemeClr val="tx1"/>
              </a:solidFill>
              <a:effectLst/>
              <a:latin typeface="+mn-ea"/>
              <a:ea typeface="+mn-ea"/>
              <a:cs typeface="+mn-cs"/>
            </a:rPr>
            <a:t>令和</a:t>
          </a:r>
          <a:r>
            <a:rPr lang="en-US" altLang="ja-JP" sz="1200" b="0" i="0" baseline="0">
              <a:solidFill>
                <a:schemeClr val="tx1"/>
              </a:solidFill>
              <a:effectLst/>
              <a:latin typeface="+mn-ea"/>
              <a:ea typeface="+mn-ea"/>
              <a:cs typeface="+mn-cs"/>
            </a:rPr>
            <a:t>8</a:t>
          </a:r>
          <a:r>
            <a:rPr lang="ja-JP" altLang="ja-JP" sz="1200" b="0" i="0" baseline="0">
              <a:solidFill>
                <a:schemeClr val="tx1"/>
              </a:solidFill>
              <a:effectLst/>
              <a:latin typeface="+mn-ea"/>
              <a:ea typeface="+mn-ea"/>
              <a:cs typeface="+mn-cs"/>
            </a:rPr>
            <a:t>～</a:t>
          </a:r>
          <a:r>
            <a:rPr lang="en-US" altLang="ja-JP" sz="1200" b="0" i="0" baseline="0">
              <a:solidFill>
                <a:schemeClr val="tx1"/>
              </a:solidFill>
              <a:effectLst/>
              <a:latin typeface="+mn-ea"/>
              <a:ea typeface="+mn-ea"/>
              <a:cs typeface="+mn-cs"/>
            </a:rPr>
            <a:t>12</a:t>
          </a:r>
          <a:r>
            <a:rPr lang="ja-JP" altLang="en-US" sz="1200" b="0" i="0" baseline="0">
              <a:solidFill>
                <a:schemeClr val="tx1"/>
              </a:solidFill>
              <a:effectLst/>
              <a:latin typeface="+mn-ea"/>
              <a:ea typeface="+mn-ea"/>
              <a:cs typeface="+mn-cs"/>
            </a:rPr>
            <a:t>年度</a:t>
          </a:r>
          <a:r>
            <a:rPr lang="ja-JP" altLang="ja-JP" sz="1200" b="0" i="0" baseline="0">
              <a:solidFill>
                <a:schemeClr val="tx1"/>
              </a:solidFill>
              <a:effectLst/>
              <a:latin typeface="+mn-ea"/>
              <a:ea typeface="+mn-ea"/>
              <a:cs typeface="+mn-cs"/>
            </a:rPr>
            <a:t>）の場合　→</a:t>
          </a:r>
          <a:r>
            <a:rPr lang="en-US" altLang="ja-JP" sz="1200" b="0" i="0" baseline="0">
              <a:solidFill>
                <a:schemeClr val="tx1"/>
              </a:solidFill>
              <a:effectLst/>
              <a:latin typeface="+mn-ea"/>
              <a:ea typeface="+mn-ea"/>
              <a:cs typeface="+mn-cs"/>
            </a:rPr>
            <a:t>12</a:t>
          </a:r>
          <a:r>
            <a:rPr lang="ja-JP" altLang="ja-JP" sz="1200" b="0" i="0" baseline="0">
              <a:solidFill>
                <a:schemeClr val="tx1"/>
              </a:solidFill>
              <a:effectLst/>
              <a:latin typeface="+mn-ea"/>
              <a:ea typeface="+mn-ea"/>
              <a:cs typeface="+mn-cs"/>
            </a:rPr>
            <a:t>年度</a:t>
          </a:r>
          <a:endParaRPr lang="en-US" altLang="ja-JP" sz="1200" b="0" i="0" baseline="0">
            <a:solidFill>
              <a:schemeClr val="tx1"/>
            </a:solidFill>
            <a:effectLst/>
            <a:latin typeface="+mn-ea"/>
            <a:ea typeface="+mn-ea"/>
            <a:cs typeface="+mn-cs"/>
          </a:endParaRPr>
        </a:p>
        <a:p>
          <a:pPr rtl="0"/>
          <a:endParaRPr lang="ja-JP" altLang="ja-JP" sz="1200">
            <a:solidFill>
              <a:schemeClr val="tx1"/>
            </a:solidFill>
            <a:effectLst/>
            <a:latin typeface="+mn-ea"/>
            <a:ea typeface="+mn-ea"/>
          </a:endParaRPr>
        </a:p>
        <a:p>
          <a:pPr rtl="0"/>
          <a:r>
            <a:rPr lang="ja-JP" altLang="en-US" sz="1200" b="0" i="0" baseline="0">
              <a:solidFill>
                <a:schemeClr val="tx1"/>
              </a:solidFill>
              <a:effectLst/>
              <a:latin typeface="+mn-ea"/>
              <a:ea typeface="+mn-ea"/>
              <a:cs typeface="+mn-cs"/>
            </a:rPr>
            <a:t>令和</a:t>
          </a:r>
          <a:r>
            <a:rPr lang="en-US" altLang="ja-JP" sz="1200" b="0" i="0" baseline="0">
              <a:solidFill>
                <a:schemeClr val="tx1"/>
              </a:solidFill>
              <a:effectLst/>
              <a:latin typeface="+mn-ea"/>
              <a:ea typeface="+mn-ea"/>
              <a:cs typeface="+mn-cs"/>
            </a:rPr>
            <a:t>9</a:t>
          </a:r>
          <a:r>
            <a:rPr lang="ja-JP" altLang="ja-JP" sz="1200" b="0" i="0" baseline="0">
              <a:solidFill>
                <a:schemeClr val="tx1"/>
              </a:solidFill>
              <a:effectLst/>
              <a:latin typeface="+mn-ea"/>
              <a:ea typeface="+mn-ea"/>
              <a:cs typeface="+mn-cs"/>
            </a:rPr>
            <a:t>年度を初年度とする法人</a:t>
          </a:r>
          <a:endParaRPr lang="ja-JP" altLang="ja-JP" sz="1200">
            <a:solidFill>
              <a:schemeClr val="tx1"/>
            </a:solidFill>
            <a:effectLst/>
            <a:latin typeface="+mn-ea"/>
            <a:ea typeface="+mn-ea"/>
          </a:endParaRPr>
        </a:p>
        <a:p>
          <a:pPr rtl="0"/>
          <a:r>
            <a:rPr lang="ja-JP" altLang="ja-JP" sz="1200" b="0" i="0" baseline="0">
              <a:solidFill>
                <a:schemeClr val="tx1"/>
              </a:solidFill>
              <a:effectLst/>
              <a:latin typeface="+mn-ea"/>
              <a:ea typeface="+mn-ea"/>
              <a:cs typeface="+mn-cs"/>
            </a:rPr>
            <a:t>（</a:t>
          </a:r>
          <a:r>
            <a:rPr lang="ja-JP" altLang="en-US" sz="1200" b="0" i="0" baseline="0">
              <a:solidFill>
                <a:schemeClr val="tx1"/>
              </a:solidFill>
              <a:effectLst/>
              <a:latin typeface="+mn-ea"/>
              <a:ea typeface="+mn-ea"/>
              <a:cs typeface="+mn-cs"/>
            </a:rPr>
            <a:t>令和</a:t>
          </a:r>
          <a:r>
            <a:rPr lang="en-US" altLang="ja-JP" sz="1200" b="0" i="0" baseline="0">
              <a:solidFill>
                <a:schemeClr val="tx1"/>
              </a:solidFill>
              <a:effectLst/>
              <a:latin typeface="+mn-ea"/>
              <a:ea typeface="+mn-ea"/>
              <a:cs typeface="+mn-cs"/>
            </a:rPr>
            <a:t>9</a:t>
          </a:r>
          <a:r>
            <a:rPr lang="ja-JP" altLang="ja-JP" sz="1200" b="0" i="0" baseline="0">
              <a:solidFill>
                <a:schemeClr val="tx1"/>
              </a:solidFill>
              <a:effectLst/>
              <a:latin typeface="+mn-ea"/>
              <a:ea typeface="+mn-ea"/>
              <a:cs typeface="+mn-cs"/>
            </a:rPr>
            <a:t>～</a:t>
          </a:r>
          <a:r>
            <a:rPr lang="en-US" altLang="ja-JP" sz="1200" b="0" i="0" baseline="0">
              <a:solidFill>
                <a:schemeClr val="tx1"/>
              </a:solidFill>
              <a:effectLst/>
              <a:latin typeface="+mn-ea"/>
              <a:ea typeface="+mn-ea"/>
              <a:cs typeface="+mn-cs"/>
            </a:rPr>
            <a:t>13</a:t>
          </a:r>
          <a:r>
            <a:rPr lang="ja-JP" altLang="ja-JP" sz="1200" b="0" i="0" baseline="0">
              <a:solidFill>
                <a:schemeClr val="tx1"/>
              </a:solidFill>
              <a:effectLst/>
              <a:latin typeface="+mn-ea"/>
              <a:ea typeface="+mn-ea"/>
              <a:cs typeface="+mn-cs"/>
            </a:rPr>
            <a:t>年度）の場合　→</a:t>
          </a:r>
          <a:r>
            <a:rPr lang="en-US" altLang="ja-JP" sz="1200" b="0" i="0" baseline="0">
              <a:solidFill>
                <a:schemeClr val="tx1"/>
              </a:solidFill>
              <a:effectLst/>
              <a:latin typeface="+mn-ea"/>
              <a:ea typeface="+mn-ea"/>
              <a:cs typeface="+mn-cs"/>
            </a:rPr>
            <a:t>13</a:t>
          </a:r>
          <a:r>
            <a:rPr lang="ja-JP" altLang="ja-JP" sz="1200" b="0" i="0" baseline="0">
              <a:solidFill>
                <a:schemeClr val="tx1"/>
              </a:solidFill>
              <a:effectLst/>
              <a:latin typeface="+mn-ea"/>
              <a:ea typeface="+mn-ea"/>
              <a:cs typeface="+mn-cs"/>
            </a:rPr>
            <a:t>年度</a:t>
          </a:r>
          <a:endParaRPr lang="en-US" altLang="ja-JP" sz="1200" b="0" i="0" baseline="0">
            <a:solidFill>
              <a:schemeClr val="tx1"/>
            </a:solidFill>
            <a:effectLst/>
            <a:latin typeface="+mn-ea"/>
            <a:ea typeface="+mn-ea"/>
            <a:cs typeface="+mn-cs"/>
          </a:endParaRPr>
        </a:p>
        <a:p>
          <a:pPr rtl="0"/>
          <a:endParaRPr lang="ja-JP" altLang="ja-JP" sz="1200">
            <a:solidFill>
              <a:schemeClr val="tx1"/>
            </a:solidFill>
            <a:effectLst/>
            <a:latin typeface="+mn-ea"/>
            <a:ea typeface="+mn-ea"/>
          </a:endParaRPr>
        </a:p>
        <a:p>
          <a:pPr rtl="0"/>
          <a:r>
            <a:rPr lang="ja-JP" altLang="en-US" sz="1200">
              <a:solidFill>
                <a:schemeClr val="tx1"/>
              </a:solidFill>
              <a:effectLst/>
              <a:latin typeface="+mn-ea"/>
              <a:ea typeface="+mn-ea"/>
              <a:cs typeface="+mn-cs"/>
            </a:rPr>
            <a:t>令和</a:t>
          </a:r>
          <a:r>
            <a:rPr lang="en-US" altLang="ja-JP" sz="1200">
              <a:solidFill>
                <a:schemeClr val="tx1"/>
              </a:solidFill>
              <a:effectLst/>
              <a:latin typeface="+mn-ea"/>
              <a:ea typeface="+mn-ea"/>
              <a:cs typeface="+mn-cs"/>
            </a:rPr>
            <a:t>10</a:t>
          </a:r>
          <a:r>
            <a:rPr lang="ja-JP" altLang="ja-JP" sz="1200">
              <a:solidFill>
                <a:schemeClr val="tx1"/>
              </a:solidFill>
              <a:effectLst/>
              <a:latin typeface="+mn-ea"/>
              <a:ea typeface="+mn-ea"/>
              <a:cs typeface="+mn-cs"/>
            </a:rPr>
            <a:t>年度を初年度とする法人</a:t>
          </a:r>
          <a:endParaRPr lang="ja-JP" altLang="ja-JP" sz="1200">
            <a:solidFill>
              <a:schemeClr val="tx1"/>
            </a:solidFill>
            <a:effectLst/>
            <a:latin typeface="+mn-ea"/>
            <a:ea typeface="+mn-ea"/>
          </a:endParaRPr>
        </a:p>
        <a:p>
          <a:pPr rtl="0"/>
          <a:r>
            <a:rPr lang="ja-JP" altLang="ja-JP" sz="1200">
              <a:solidFill>
                <a:schemeClr val="tx1"/>
              </a:solidFill>
              <a:effectLst/>
              <a:latin typeface="+mn-ea"/>
              <a:ea typeface="+mn-ea"/>
              <a:cs typeface="+mn-cs"/>
            </a:rPr>
            <a:t>（</a:t>
          </a:r>
          <a:r>
            <a:rPr lang="ja-JP" altLang="en-US" sz="1200">
              <a:solidFill>
                <a:schemeClr val="tx1"/>
              </a:solidFill>
              <a:effectLst/>
              <a:latin typeface="+mn-ea"/>
              <a:ea typeface="+mn-ea"/>
              <a:cs typeface="+mn-cs"/>
            </a:rPr>
            <a:t>令和</a:t>
          </a:r>
          <a:r>
            <a:rPr lang="en-US" altLang="ja-JP" sz="1200">
              <a:solidFill>
                <a:schemeClr val="tx1"/>
              </a:solidFill>
              <a:effectLst/>
              <a:latin typeface="+mn-ea"/>
              <a:ea typeface="+mn-ea"/>
              <a:cs typeface="+mn-cs"/>
            </a:rPr>
            <a:t>10</a:t>
          </a:r>
          <a:r>
            <a:rPr lang="ja-JP" altLang="ja-JP" sz="1200">
              <a:solidFill>
                <a:schemeClr val="tx1"/>
              </a:solidFill>
              <a:effectLst/>
              <a:latin typeface="+mn-ea"/>
              <a:ea typeface="+mn-ea"/>
              <a:cs typeface="+mn-cs"/>
            </a:rPr>
            <a:t>～</a:t>
          </a:r>
          <a:r>
            <a:rPr lang="en-US" altLang="ja-JP" sz="1200">
              <a:solidFill>
                <a:schemeClr val="tx1"/>
              </a:solidFill>
              <a:effectLst/>
              <a:latin typeface="+mn-ea"/>
              <a:ea typeface="+mn-ea"/>
              <a:cs typeface="+mn-cs"/>
            </a:rPr>
            <a:t>14</a:t>
          </a:r>
          <a:r>
            <a:rPr lang="ja-JP" altLang="ja-JP" sz="1200">
              <a:solidFill>
                <a:schemeClr val="tx1"/>
              </a:solidFill>
              <a:effectLst/>
              <a:latin typeface="+mn-ea"/>
              <a:ea typeface="+mn-ea"/>
              <a:cs typeface="+mn-cs"/>
            </a:rPr>
            <a:t>年度）の場合　→</a:t>
          </a:r>
          <a:r>
            <a:rPr lang="en-US" altLang="ja-JP" sz="1200">
              <a:solidFill>
                <a:schemeClr val="tx1"/>
              </a:solidFill>
              <a:effectLst/>
              <a:latin typeface="+mn-ea"/>
              <a:ea typeface="+mn-ea"/>
              <a:cs typeface="+mn-cs"/>
            </a:rPr>
            <a:t>14</a:t>
          </a:r>
          <a:r>
            <a:rPr lang="ja-JP" altLang="ja-JP" sz="1200">
              <a:solidFill>
                <a:schemeClr val="tx1"/>
              </a:solidFill>
              <a:effectLst/>
              <a:latin typeface="+mn-ea"/>
              <a:ea typeface="+mn-ea"/>
              <a:cs typeface="+mn-cs"/>
            </a:rPr>
            <a:t>年度</a:t>
          </a:r>
          <a:endParaRPr lang="en-US" altLang="ja-JP" sz="1200">
            <a:solidFill>
              <a:schemeClr val="tx1"/>
            </a:solidFill>
            <a:effectLst/>
            <a:latin typeface="+mn-ea"/>
            <a:ea typeface="+mn-ea"/>
            <a:cs typeface="+mn-cs"/>
          </a:endParaRPr>
        </a:p>
        <a:p>
          <a:pPr rtl="0"/>
          <a:endParaRPr lang="ja-JP" altLang="ja-JP" sz="1200">
            <a:solidFill>
              <a:schemeClr val="tx1"/>
            </a:solidFill>
            <a:effectLst/>
            <a:latin typeface="+mn-ea"/>
            <a:ea typeface="+mn-ea"/>
          </a:endParaRPr>
        </a:p>
        <a:p>
          <a:pPr rtl="0"/>
          <a:r>
            <a:rPr lang="ja-JP" altLang="en-US" sz="1200">
              <a:solidFill>
                <a:schemeClr val="tx1"/>
              </a:solidFill>
              <a:effectLst/>
              <a:latin typeface="+mn-ea"/>
              <a:ea typeface="+mn-ea"/>
              <a:cs typeface="+mn-cs"/>
            </a:rPr>
            <a:t>令和</a:t>
          </a:r>
          <a:r>
            <a:rPr lang="en-US" altLang="ja-JP" sz="1200">
              <a:solidFill>
                <a:schemeClr val="tx1"/>
              </a:solidFill>
              <a:effectLst/>
              <a:latin typeface="+mn-ea"/>
              <a:ea typeface="+mn-ea"/>
              <a:cs typeface="+mn-cs"/>
            </a:rPr>
            <a:t>11</a:t>
          </a:r>
          <a:r>
            <a:rPr lang="ja-JP" altLang="ja-JP" sz="1200">
              <a:solidFill>
                <a:schemeClr val="tx1"/>
              </a:solidFill>
              <a:effectLst/>
              <a:latin typeface="+mn-ea"/>
              <a:ea typeface="+mn-ea"/>
              <a:cs typeface="+mn-cs"/>
            </a:rPr>
            <a:t>年度を初年度とする法人</a:t>
          </a:r>
          <a:endParaRPr lang="ja-JP" altLang="ja-JP" sz="1200">
            <a:solidFill>
              <a:schemeClr val="tx1"/>
            </a:solidFill>
            <a:effectLst/>
            <a:latin typeface="+mn-ea"/>
            <a:ea typeface="+mn-ea"/>
          </a:endParaRPr>
        </a:p>
        <a:p>
          <a:pPr rtl="0"/>
          <a:r>
            <a:rPr lang="ja-JP" altLang="ja-JP" sz="1200">
              <a:solidFill>
                <a:schemeClr val="tx1"/>
              </a:solidFill>
              <a:effectLst/>
              <a:latin typeface="+mn-ea"/>
              <a:ea typeface="+mn-ea"/>
              <a:cs typeface="+mn-cs"/>
            </a:rPr>
            <a:t>（</a:t>
          </a:r>
          <a:r>
            <a:rPr lang="ja-JP" altLang="en-US" sz="1200">
              <a:solidFill>
                <a:schemeClr val="tx1"/>
              </a:solidFill>
              <a:effectLst/>
              <a:latin typeface="+mn-ea"/>
              <a:ea typeface="+mn-ea"/>
              <a:cs typeface="+mn-cs"/>
            </a:rPr>
            <a:t>令和</a:t>
          </a:r>
          <a:r>
            <a:rPr lang="en-US" altLang="ja-JP" sz="1200">
              <a:solidFill>
                <a:schemeClr val="tx1"/>
              </a:solidFill>
              <a:effectLst/>
              <a:latin typeface="+mn-ea"/>
              <a:ea typeface="+mn-ea"/>
              <a:cs typeface="+mn-cs"/>
            </a:rPr>
            <a:t>11</a:t>
          </a:r>
          <a:r>
            <a:rPr lang="ja-JP" altLang="ja-JP" sz="1200">
              <a:solidFill>
                <a:schemeClr val="tx1"/>
              </a:solidFill>
              <a:effectLst/>
              <a:latin typeface="+mn-ea"/>
              <a:ea typeface="+mn-ea"/>
              <a:cs typeface="+mn-cs"/>
            </a:rPr>
            <a:t>～</a:t>
          </a:r>
          <a:r>
            <a:rPr lang="en-US" altLang="ja-JP" sz="1200">
              <a:solidFill>
                <a:schemeClr val="tx1"/>
              </a:solidFill>
              <a:effectLst/>
              <a:latin typeface="+mn-ea"/>
              <a:ea typeface="+mn-ea"/>
              <a:cs typeface="+mn-cs"/>
            </a:rPr>
            <a:t>15</a:t>
          </a:r>
          <a:r>
            <a:rPr lang="ja-JP" altLang="ja-JP" sz="1200">
              <a:solidFill>
                <a:schemeClr val="tx1"/>
              </a:solidFill>
              <a:effectLst/>
              <a:latin typeface="+mn-ea"/>
              <a:ea typeface="+mn-ea"/>
              <a:cs typeface="+mn-cs"/>
            </a:rPr>
            <a:t>年度）の場合　→</a:t>
          </a:r>
          <a:r>
            <a:rPr lang="en-US" altLang="ja-JP" sz="1200">
              <a:solidFill>
                <a:schemeClr val="tx1"/>
              </a:solidFill>
              <a:effectLst/>
              <a:latin typeface="+mn-ea"/>
              <a:ea typeface="+mn-ea"/>
              <a:cs typeface="+mn-cs"/>
            </a:rPr>
            <a:t>15</a:t>
          </a:r>
          <a:r>
            <a:rPr lang="ja-JP" altLang="ja-JP" sz="1200">
              <a:solidFill>
                <a:schemeClr val="tx1"/>
              </a:solidFill>
              <a:effectLst/>
              <a:latin typeface="+mn-ea"/>
              <a:ea typeface="+mn-ea"/>
              <a:cs typeface="+mn-cs"/>
            </a:rPr>
            <a:t>年度</a:t>
          </a:r>
          <a:endParaRPr lang="en-US" altLang="ja-JP" sz="1200">
            <a:solidFill>
              <a:schemeClr val="tx1"/>
            </a:solidFill>
            <a:effectLst/>
            <a:latin typeface="+mn-ea"/>
            <a:ea typeface="+mn-ea"/>
            <a:cs typeface="+mn-cs"/>
          </a:endParaRPr>
        </a:p>
        <a:p>
          <a:pPr rtl="0"/>
          <a:endParaRPr lang="ja-JP" altLang="ja-JP" sz="1200">
            <a:solidFill>
              <a:schemeClr val="tx1"/>
            </a:solidFill>
            <a:effectLst/>
            <a:latin typeface="+mn-ea"/>
            <a:ea typeface="+mn-ea"/>
          </a:endParaRPr>
        </a:p>
        <a:p>
          <a:pPr rtl="0"/>
          <a:r>
            <a:rPr lang="ja-JP" altLang="en-US" sz="1200">
              <a:solidFill>
                <a:schemeClr val="tx1"/>
              </a:solidFill>
              <a:effectLst/>
              <a:latin typeface="+mn-ea"/>
              <a:ea typeface="+mn-ea"/>
              <a:cs typeface="+mn-cs"/>
            </a:rPr>
            <a:t>令和</a:t>
          </a:r>
          <a:r>
            <a:rPr lang="en-US" altLang="ja-JP" sz="1200">
              <a:solidFill>
                <a:schemeClr val="tx1"/>
              </a:solidFill>
              <a:effectLst/>
              <a:latin typeface="+mn-ea"/>
              <a:ea typeface="+mn-ea"/>
              <a:cs typeface="+mn-cs"/>
            </a:rPr>
            <a:t>12</a:t>
          </a:r>
          <a:r>
            <a:rPr lang="ja-JP" altLang="ja-JP" sz="1200">
              <a:solidFill>
                <a:schemeClr val="tx1"/>
              </a:solidFill>
              <a:effectLst/>
              <a:latin typeface="+mn-ea"/>
              <a:ea typeface="+mn-ea"/>
              <a:cs typeface="+mn-cs"/>
            </a:rPr>
            <a:t>年度を初年度とする法人</a:t>
          </a:r>
          <a:endParaRPr lang="ja-JP" altLang="ja-JP" sz="1200">
            <a:solidFill>
              <a:schemeClr val="tx1"/>
            </a:solidFill>
            <a:effectLst/>
            <a:latin typeface="+mn-ea"/>
            <a:ea typeface="+mn-ea"/>
          </a:endParaRPr>
        </a:p>
        <a:p>
          <a:pPr rtl="0"/>
          <a:r>
            <a:rPr lang="ja-JP" altLang="ja-JP" sz="1200">
              <a:solidFill>
                <a:schemeClr val="tx1"/>
              </a:solidFill>
              <a:effectLst/>
              <a:latin typeface="+mn-ea"/>
              <a:ea typeface="+mn-ea"/>
              <a:cs typeface="+mn-cs"/>
            </a:rPr>
            <a:t>（</a:t>
          </a:r>
          <a:r>
            <a:rPr lang="ja-JP" altLang="en-US" sz="1200">
              <a:solidFill>
                <a:schemeClr val="tx1"/>
              </a:solidFill>
              <a:effectLst/>
              <a:latin typeface="+mn-ea"/>
              <a:ea typeface="+mn-ea"/>
              <a:cs typeface="+mn-cs"/>
            </a:rPr>
            <a:t>令和</a:t>
          </a:r>
          <a:r>
            <a:rPr lang="en-US" altLang="ja-JP" sz="1200">
              <a:solidFill>
                <a:schemeClr val="tx1"/>
              </a:solidFill>
              <a:effectLst/>
              <a:latin typeface="+mn-ea"/>
              <a:ea typeface="+mn-ea"/>
              <a:cs typeface="+mn-cs"/>
            </a:rPr>
            <a:t>12</a:t>
          </a:r>
          <a:r>
            <a:rPr lang="ja-JP" altLang="ja-JP" sz="1200">
              <a:solidFill>
                <a:schemeClr val="tx1"/>
              </a:solidFill>
              <a:effectLst/>
              <a:latin typeface="+mn-ea"/>
              <a:ea typeface="+mn-ea"/>
              <a:cs typeface="+mn-cs"/>
            </a:rPr>
            <a:t>～</a:t>
          </a:r>
          <a:r>
            <a:rPr lang="en-US" altLang="ja-JP" sz="1200">
              <a:solidFill>
                <a:schemeClr val="tx1"/>
              </a:solidFill>
              <a:effectLst/>
              <a:latin typeface="+mn-ea"/>
              <a:ea typeface="+mn-ea"/>
              <a:cs typeface="+mn-cs"/>
            </a:rPr>
            <a:t>16</a:t>
          </a:r>
          <a:r>
            <a:rPr lang="ja-JP" altLang="ja-JP" sz="1200">
              <a:solidFill>
                <a:schemeClr val="tx1"/>
              </a:solidFill>
              <a:effectLst/>
              <a:latin typeface="+mn-ea"/>
              <a:ea typeface="+mn-ea"/>
              <a:cs typeface="+mn-cs"/>
            </a:rPr>
            <a:t>年度）の場合　→</a:t>
          </a:r>
          <a:r>
            <a:rPr lang="en-US" altLang="ja-JP" sz="1200">
              <a:solidFill>
                <a:schemeClr val="tx1"/>
              </a:solidFill>
              <a:effectLst/>
              <a:latin typeface="+mn-ea"/>
              <a:ea typeface="+mn-ea"/>
              <a:cs typeface="+mn-cs"/>
            </a:rPr>
            <a:t>16</a:t>
          </a:r>
          <a:r>
            <a:rPr lang="ja-JP" altLang="ja-JP" sz="1200">
              <a:solidFill>
                <a:schemeClr val="tx1"/>
              </a:solidFill>
              <a:effectLst/>
              <a:latin typeface="+mn-ea"/>
              <a:ea typeface="+mn-ea"/>
              <a:cs typeface="+mn-cs"/>
            </a:rPr>
            <a:t>年度</a:t>
          </a:r>
          <a:endParaRPr lang="en-US" altLang="ja-JP" sz="1200">
            <a:solidFill>
              <a:schemeClr val="tx1"/>
            </a:solidFill>
            <a:effectLst/>
            <a:latin typeface="+mn-ea"/>
            <a:ea typeface="+mn-ea"/>
            <a:cs typeface="+mn-cs"/>
          </a:endParaRPr>
        </a:p>
        <a:p>
          <a:pPr rtl="0"/>
          <a:endParaRPr lang="en-US" altLang="ja-JP" sz="1200">
            <a:solidFill>
              <a:schemeClr val="tx1"/>
            </a:solidFill>
            <a:effectLst/>
            <a:latin typeface="+mn-ea"/>
            <a:ea typeface="+mn-ea"/>
            <a:cs typeface="+mn-cs"/>
          </a:endParaRPr>
        </a:p>
        <a:p>
          <a:pPr rtl="0"/>
          <a:endParaRPr lang="ja-JP" altLang="ja-JP" sz="1200">
            <a:solidFill>
              <a:schemeClr val="tx1"/>
            </a:solidFill>
            <a:effectLst/>
            <a:latin typeface="+mn-ea"/>
            <a:ea typeface="+mn-ea"/>
          </a:endParaRPr>
        </a:p>
        <a:p>
          <a:pPr rtl="0"/>
          <a:r>
            <a:rPr lang="ja-JP" altLang="ja-JP" sz="1200" b="0" i="0" baseline="0">
              <a:solidFill>
                <a:schemeClr val="tx1"/>
              </a:solidFill>
              <a:effectLst/>
              <a:latin typeface="+mn-ea"/>
              <a:ea typeface="+mn-ea"/>
              <a:cs typeface="+mn-cs"/>
            </a:rPr>
            <a:t>以降、他の様式も同様</a:t>
          </a:r>
          <a:endParaRPr lang="ja-JP" altLang="ja-JP" sz="1200">
            <a:solidFill>
              <a:schemeClr val="tx1"/>
            </a:solidFill>
            <a:effectLst/>
            <a:latin typeface="+mn-ea"/>
            <a:ea typeface="+mn-ea"/>
          </a:endParaRPr>
        </a:p>
      </xdr:txBody>
    </xdr:sp>
    <xdr:clientData/>
  </xdr:twoCellAnchor>
  <xdr:twoCellAnchor>
    <xdr:from>
      <xdr:col>11</xdr:col>
      <xdr:colOff>0</xdr:colOff>
      <xdr:row>4</xdr:row>
      <xdr:rowOff>200305</xdr:rowOff>
    </xdr:from>
    <xdr:to>
      <xdr:col>14</xdr:col>
      <xdr:colOff>186858</xdr:colOff>
      <xdr:row>5</xdr:row>
      <xdr:rowOff>186577</xdr:rowOff>
    </xdr:to>
    <xdr:cxnSp macro="">
      <xdr:nvCxnSpPr>
        <xdr:cNvPr id="2051" name="AutoShape 3">
          <a:extLst>
            <a:ext uri="{FF2B5EF4-FFF2-40B4-BE49-F238E27FC236}">
              <a16:creationId xmlns:a16="http://schemas.microsoft.com/office/drawing/2014/main" id="{00000000-0008-0000-0400-000003080000}"/>
            </a:ext>
          </a:extLst>
        </xdr:cNvPr>
        <xdr:cNvCxnSpPr>
          <a:cxnSpLocks noChangeShapeType="1"/>
          <a:stCxn id="1026" idx="0"/>
          <a:endCxn id="2049" idx="6"/>
        </xdr:cNvCxnSpPr>
      </xdr:nvCxnSpPr>
      <xdr:spPr bwMode="auto">
        <a:xfrm flipH="1" flipV="1">
          <a:off x="11194676" y="1522599"/>
          <a:ext cx="2237535" cy="367272"/>
        </a:xfrm>
        <a:prstGeom prst="straightConnector1">
          <a:avLst/>
        </a:prstGeom>
        <a:noFill/>
        <a:ln w="12700">
          <a:solidFill>
            <a:srgbClr val="FF0000"/>
          </a:solidFill>
          <a:round/>
          <a:headEnd/>
          <a:tailEnd type="triangle" w="med" len="med"/>
        </a:ln>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0"/>
  <sheetViews>
    <sheetView tabSelected="1" view="pageBreakPreview" zoomScaleNormal="100" zoomScaleSheetLayoutView="100" workbookViewId="0"/>
  </sheetViews>
  <sheetFormatPr defaultRowHeight="13.2" x14ac:dyDescent="0.2"/>
  <cols>
    <col min="1" max="1" width="10" customWidth="1"/>
    <col min="2" max="4" width="15.6640625" style="4" customWidth="1"/>
    <col min="5" max="5" width="15.44140625" customWidth="1"/>
    <col min="6" max="6" width="16.44140625" bestFit="1" customWidth="1"/>
    <col min="8" max="8" width="29.21875" customWidth="1"/>
    <col min="9" max="9" width="8" customWidth="1"/>
    <col min="10" max="11" width="9" style="4" customWidth="1"/>
    <col min="12" max="13" width="11.88671875" customWidth="1"/>
    <col min="14" max="14" width="9" customWidth="1"/>
  </cols>
  <sheetData>
    <row r="1" spans="1:14" ht="13.8" thickBot="1" x14ac:dyDescent="0.25">
      <c r="A1" s="80" t="s">
        <v>409</v>
      </c>
    </row>
    <row r="2" spans="1:14" ht="22.5" customHeight="1" thickBot="1" x14ac:dyDescent="0.25">
      <c r="A2" t="s">
        <v>71</v>
      </c>
      <c r="B2" s="807" t="s">
        <v>195</v>
      </c>
      <c r="C2" s="808"/>
      <c r="D2" s="809"/>
      <c r="J2" s="4">
        <v>1</v>
      </c>
      <c r="K2" s="4">
        <v>31</v>
      </c>
      <c r="L2" t="s">
        <v>465</v>
      </c>
      <c r="M2" t="s">
        <v>466</v>
      </c>
      <c r="N2" t="s">
        <v>465</v>
      </c>
    </row>
    <row r="3" spans="1:14" ht="8.25" customHeight="1" x14ac:dyDescent="0.2">
      <c r="B3" s="3"/>
      <c r="C3" s="3"/>
      <c r="D3" s="3"/>
      <c r="J3" s="4">
        <v>2</v>
      </c>
      <c r="K3" s="4">
        <v>32</v>
      </c>
      <c r="L3" t="s">
        <v>467</v>
      </c>
      <c r="M3" t="s">
        <v>468</v>
      </c>
      <c r="N3" t="s">
        <v>423</v>
      </c>
    </row>
    <row r="4" spans="1:14" ht="13.8" thickBot="1" x14ac:dyDescent="0.25">
      <c r="A4" s="80" t="s">
        <v>114</v>
      </c>
      <c r="B4" s="3"/>
      <c r="C4" s="3"/>
      <c r="D4" s="3"/>
      <c r="J4" s="4">
        <v>3</v>
      </c>
      <c r="K4" s="4">
        <v>33</v>
      </c>
      <c r="L4" t="s">
        <v>469</v>
      </c>
      <c r="M4" t="s">
        <v>470</v>
      </c>
      <c r="N4" t="s">
        <v>424</v>
      </c>
    </row>
    <row r="5" spans="1:14" ht="24" customHeight="1" thickBot="1" x14ac:dyDescent="0.25">
      <c r="A5" t="s">
        <v>72</v>
      </c>
      <c r="B5" s="807" t="s">
        <v>161</v>
      </c>
      <c r="C5" s="808"/>
      <c r="D5" s="809"/>
      <c r="J5" s="4">
        <v>4</v>
      </c>
      <c r="K5" s="4">
        <v>34</v>
      </c>
      <c r="L5" t="s">
        <v>471</v>
      </c>
      <c r="M5" t="s">
        <v>472</v>
      </c>
      <c r="N5" t="s">
        <v>425</v>
      </c>
    </row>
    <row r="6" spans="1:14" ht="8.25" customHeight="1" x14ac:dyDescent="0.2">
      <c r="J6" s="4">
        <v>5</v>
      </c>
      <c r="K6" s="4">
        <v>35</v>
      </c>
      <c r="L6" t="s">
        <v>464</v>
      </c>
      <c r="M6" t="s">
        <v>473</v>
      </c>
      <c r="N6" t="s">
        <v>426</v>
      </c>
    </row>
    <row r="7" spans="1:14" ht="13.5" customHeight="1" thickBot="1" x14ac:dyDescent="0.25">
      <c r="A7" s="5"/>
      <c r="F7" s="5" t="s">
        <v>202</v>
      </c>
      <c r="J7" s="4">
        <v>6</v>
      </c>
      <c r="K7" s="4">
        <v>36</v>
      </c>
      <c r="L7" t="s">
        <v>474</v>
      </c>
      <c r="M7" t="s">
        <v>475</v>
      </c>
      <c r="N7" t="s">
        <v>427</v>
      </c>
    </row>
    <row r="8" spans="1:14" ht="22.5" customHeight="1" thickBot="1" x14ac:dyDescent="0.25">
      <c r="A8" s="153" t="s">
        <v>203</v>
      </c>
      <c r="B8" s="810" t="str">
        <f>VLOOKUP($F8,$J$2:$L$45,3,FALSE)</f>
        <v>令和8年度</v>
      </c>
      <c r="C8" s="811"/>
      <c r="D8" s="812"/>
      <c r="F8" s="637">
        <v>8</v>
      </c>
      <c r="G8" s="153" t="s">
        <v>519</v>
      </c>
      <c r="I8" s="638">
        <f>VLOOKUP($F8,$J$2:$K$25,2,FALSE)</f>
        <v>38</v>
      </c>
      <c r="J8" s="4">
        <v>7</v>
      </c>
      <c r="K8" s="4">
        <v>37</v>
      </c>
      <c r="L8" t="s">
        <v>476</v>
      </c>
      <c r="M8" t="s">
        <v>477</v>
      </c>
      <c r="N8" t="s">
        <v>428</v>
      </c>
    </row>
    <row r="9" spans="1:14" ht="9.75" customHeight="1" x14ac:dyDescent="0.2">
      <c r="A9" s="153"/>
      <c r="J9" s="4">
        <v>8</v>
      </c>
      <c r="K9" s="4">
        <v>38</v>
      </c>
      <c r="L9" t="s">
        <v>478</v>
      </c>
      <c r="M9" t="s">
        <v>479</v>
      </c>
      <c r="N9" t="s">
        <v>429</v>
      </c>
    </row>
    <row r="10" spans="1:14" ht="13.8" thickBot="1" x14ac:dyDescent="0.25">
      <c r="A10" s="154" t="s">
        <v>204</v>
      </c>
      <c r="J10" s="4">
        <v>9</v>
      </c>
      <c r="K10" s="4">
        <v>39</v>
      </c>
      <c r="L10" t="s">
        <v>480</v>
      </c>
      <c r="M10" t="s">
        <v>481</v>
      </c>
      <c r="N10" t="s">
        <v>430</v>
      </c>
    </row>
    <row r="11" spans="1:14" ht="22.5" customHeight="1" thickBot="1" x14ac:dyDescent="0.25">
      <c r="A11" s="153" t="s">
        <v>150</v>
      </c>
      <c r="B11" s="813">
        <v>46208</v>
      </c>
      <c r="C11" s="808"/>
      <c r="D11" s="809"/>
      <c r="F11" s="147"/>
      <c r="J11" s="4">
        <v>10</v>
      </c>
      <c r="K11" s="4">
        <v>40</v>
      </c>
      <c r="L11" t="s">
        <v>482</v>
      </c>
      <c r="M11" t="s">
        <v>483</v>
      </c>
      <c r="N11" t="s">
        <v>431</v>
      </c>
    </row>
    <row r="12" spans="1:14" ht="9" customHeight="1" x14ac:dyDescent="0.2">
      <c r="A12" s="153"/>
      <c r="B12" s="146"/>
      <c r="C12" s="146"/>
      <c r="D12" s="146"/>
      <c r="J12" s="4">
        <v>11</v>
      </c>
      <c r="K12" s="4">
        <v>41</v>
      </c>
      <c r="L12" t="s">
        <v>484</v>
      </c>
      <c r="M12" t="s">
        <v>485</v>
      </c>
      <c r="N12" t="s">
        <v>432</v>
      </c>
    </row>
    <row r="13" spans="1:14" ht="13.8" thickBot="1" x14ac:dyDescent="0.25">
      <c r="A13" s="154"/>
      <c r="F13" s="154" t="s">
        <v>205</v>
      </c>
      <c r="J13" s="4">
        <v>12</v>
      </c>
      <c r="K13" s="4">
        <v>42</v>
      </c>
      <c r="L13" t="s">
        <v>486</v>
      </c>
      <c r="M13" t="s">
        <v>487</v>
      </c>
      <c r="N13" t="s">
        <v>433</v>
      </c>
    </row>
    <row r="14" spans="1:14" ht="22.5" customHeight="1" thickBot="1" x14ac:dyDescent="0.25">
      <c r="A14" s="153" t="s">
        <v>73</v>
      </c>
      <c r="B14" s="810" t="str">
        <f>VLOOKUP($F14,$J$2:$L$45,3,FALSE)</f>
        <v>令和8年度</v>
      </c>
      <c r="C14" s="811"/>
      <c r="D14" s="812"/>
      <c r="F14" s="637">
        <v>8</v>
      </c>
      <c r="G14" s="153" t="s">
        <v>519</v>
      </c>
      <c r="I14" s="638">
        <f>VLOOKUP($F14,$J$2:$K$25,2,FALSE)</f>
        <v>38</v>
      </c>
      <c r="J14" s="4">
        <v>13</v>
      </c>
      <c r="K14" s="4">
        <v>43</v>
      </c>
      <c r="L14" t="s">
        <v>488</v>
      </c>
      <c r="M14" t="s">
        <v>489</v>
      </c>
      <c r="N14" t="s">
        <v>434</v>
      </c>
    </row>
    <row r="15" spans="1:14" ht="10.5" customHeight="1" x14ac:dyDescent="0.2">
      <c r="B15" s="79"/>
      <c r="C15" s="79"/>
      <c r="D15" s="79"/>
      <c r="J15" s="4">
        <v>14</v>
      </c>
      <c r="K15" s="4">
        <v>44</v>
      </c>
      <c r="L15" t="s">
        <v>490</v>
      </c>
      <c r="M15" t="s">
        <v>491</v>
      </c>
      <c r="N15" t="s">
        <v>435</v>
      </c>
    </row>
    <row r="16" spans="1:14" ht="26.25" customHeight="1" x14ac:dyDescent="0.2">
      <c r="A16" s="4"/>
      <c r="E16" s="125" t="s">
        <v>162</v>
      </c>
      <c r="J16" s="4">
        <v>15</v>
      </c>
      <c r="K16" s="4">
        <v>45</v>
      </c>
      <c r="L16" t="s">
        <v>492</v>
      </c>
      <c r="M16" t="s">
        <v>493</v>
      </c>
      <c r="N16" t="s">
        <v>436</v>
      </c>
    </row>
    <row r="17" spans="1:14" ht="26.25" customHeight="1" x14ac:dyDescent="0.2">
      <c r="A17" s="4"/>
      <c r="E17" s="214">
        <f>B11</f>
        <v>46208</v>
      </c>
      <c r="J17" s="4">
        <v>16</v>
      </c>
      <c r="K17" s="4">
        <v>46</v>
      </c>
      <c r="L17" t="s">
        <v>494</v>
      </c>
      <c r="M17" t="s">
        <v>495</v>
      </c>
      <c r="N17" t="s">
        <v>437</v>
      </c>
    </row>
    <row r="18" spans="1:14" ht="18" customHeight="1" x14ac:dyDescent="0.2">
      <c r="A18" s="4"/>
      <c r="E18" s="155" t="str">
        <f>IF(入力!$I$14=入力!$I$8,"新規",IF(入力!$I$14=(1+入力!$I$8),"継続　2年目",IF(入力!$I$14=(2+入力!$I$8),"継続　3年目",IF(入力!$I$14=(3+入力!$I$8),"継続　4年目",IF(入力!$I$14=(4+入力!$I$8),"継続　最終年度")))))</f>
        <v>新規</v>
      </c>
      <c r="J18" s="4">
        <v>17</v>
      </c>
      <c r="K18" s="4">
        <v>47</v>
      </c>
      <c r="L18" t="s">
        <v>496</v>
      </c>
      <c r="M18" t="s">
        <v>497</v>
      </c>
      <c r="N18" t="s">
        <v>438</v>
      </c>
    </row>
    <row r="19" spans="1:14" ht="6.75" customHeight="1" thickBot="1" x14ac:dyDescent="0.25">
      <c r="A19" s="4"/>
      <c r="E19" s="83"/>
      <c r="J19" s="4">
        <v>18</v>
      </c>
      <c r="K19" s="4">
        <v>48</v>
      </c>
      <c r="L19" t="s">
        <v>498</v>
      </c>
      <c r="M19" t="s">
        <v>499</v>
      </c>
      <c r="N19" t="s">
        <v>439</v>
      </c>
    </row>
    <row r="20" spans="1:14" ht="38.25" customHeight="1" thickTop="1" thickBot="1" x14ac:dyDescent="0.25">
      <c r="A20" s="814" t="s">
        <v>224</v>
      </c>
      <c r="B20" s="815"/>
      <c r="C20" s="815"/>
      <c r="D20" s="815"/>
      <c r="E20" s="816"/>
      <c r="J20" s="4">
        <v>19</v>
      </c>
      <c r="K20" s="4">
        <v>49</v>
      </c>
      <c r="L20" t="s">
        <v>500</v>
      </c>
      <c r="M20" t="s">
        <v>501</v>
      </c>
      <c r="N20" t="s">
        <v>440</v>
      </c>
    </row>
    <row r="21" spans="1:14" ht="25.5" customHeight="1" thickTop="1" x14ac:dyDescent="0.2">
      <c r="A21" s="4"/>
      <c r="J21" s="4">
        <v>20</v>
      </c>
      <c r="K21" s="4">
        <v>50</v>
      </c>
      <c r="L21" t="s">
        <v>502</v>
      </c>
      <c r="M21" t="s">
        <v>503</v>
      </c>
      <c r="N21" t="s">
        <v>441</v>
      </c>
    </row>
    <row r="22" spans="1:14" ht="26.25" customHeight="1" x14ac:dyDescent="0.2">
      <c r="A22" s="6" t="s">
        <v>115</v>
      </c>
      <c r="B22" s="817" t="s">
        <v>116</v>
      </c>
      <c r="C22" s="818"/>
      <c r="D22" s="819"/>
      <c r="E22" s="6" t="s">
        <v>118</v>
      </c>
      <c r="J22" s="4">
        <v>21</v>
      </c>
      <c r="K22" s="4">
        <v>51</v>
      </c>
      <c r="L22" t="s">
        <v>504</v>
      </c>
      <c r="M22" t="s">
        <v>505</v>
      </c>
      <c r="N22" t="s">
        <v>442</v>
      </c>
    </row>
    <row r="23" spans="1:14" ht="31.5" customHeight="1" x14ac:dyDescent="0.2">
      <c r="A23" s="284" t="s">
        <v>117</v>
      </c>
      <c r="B23" s="804" t="s">
        <v>151</v>
      </c>
      <c r="C23" s="805"/>
      <c r="D23" s="806"/>
      <c r="E23" s="286" t="s">
        <v>166</v>
      </c>
      <c r="J23" s="4">
        <v>22</v>
      </c>
      <c r="K23" s="4">
        <v>52</v>
      </c>
      <c r="L23" t="s">
        <v>506</v>
      </c>
      <c r="M23" t="s">
        <v>507</v>
      </c>
      <c r="N23" t="s">
        <v>443</v>
      </c>
    </row>
    <row r="24" spans="1:14" ht="31.5" customHeight="1" x14ac:dyDescent="0.2">
      <c r="A24" s="284" t="s">
        <v>134</v>
      </c>
      <c r="B24" s="804" t="s">
        <v>152</v>
      </c>
      <c r="C24" s="805"/>
      <c r="D24" s="806"/>
      <c r="E24" s="286" t="s">
        <v>139</v>
      </c>
      <c r="J24" s="4">
        <v>23</v>
      </c>
      <c r="K24" s="4">
        <v>53</v>
      </c>
      <c r="L24" t="s">
        <v>508</v>
      </c>
      <c r="M24" t="s">
        <v>509</v>
      </c>
      <c r="N24" t="s">
        <v>444</v>
      </c>
    </row>
    <row r="25" spans="1:14" ht="31.5" customHeight="1" x14ac:dyDescent="0.2">
      <c r="A25" s="284" t="s">
        <v>135</v>
      </c>
      <c r="B25" s="804" t="s">
        <v>153</v>
      </c>
      <c r="C25" s="805"/>
      <c r="D25" s="806"/>
      <c r="E25" s="286" t="s">
        <v>138</v>
      </c>
      <c r="J25" s="4">
        <v>24</v>
      </c>
      <c r="K25" s="4">
        <v>54</v>
      </c>
      <c r="L25" t="s">
        <v>510</v>
      </c>
      <c r="M25" t="s">
        <v>574</v>
      </c>
      <c r="N25" t="s">
        <v>445</v>
      </c>
    </row>
    <row r="26" spans="1:14" ht="31.5" customHeight="1" x14ac:dyDescent="0.2">
      <c r="A26" s="284" t="s">
        <v>136</v>
      </c>
      <c r="B26" s="795" t="s">
        <v>373</v>
      </c>
      <c r="C26" s="796"/>
      <c r="D26" s="797"/>
      <c r="E26" s="282" t="s">
        <v>138</v>
      </c>
      <c r="J26" s="4">
        <v>25</v>
      </c>
      <c r="K26" s="4">
        <v>55</v>
      </c>
      <c r="L26" t="s">
        <v>556</v>
      </c>
      <c r="M26" t="s">
        <v>557</v>
      </c>
      <c r="N26" t="s">
        <v>558</v>
      </c>
    </row>
    <row r="27" spans="1:14" ht="31.5" customHeight="1" x14ac:dyDescent="0.2">
      <c r="A27" s="284" t="s">
        <v>137</v>
      </c>
      <c r="B27" s="795" t="s">
        <v>374</v>
      </c>
      <c r="C27" s="796"/>
      <c r="D27" s="797"/>
      <c r="E27" s="282" t="s">
        <v>139</v>
      </c>
      <c r="J27" s="4">
        <v>26</v>
      </c>
      <c r="K27" s="4">
        <v>56</v>
      </c>
      <c r="L27" t="s">
        <v>559</v>
      </c>
      <c r="M27" t="s">
        <v>560</v>
      </c>
      <c r="N27" t="s">
        <v>561</v>
      </c>
    </row>
    <row r="28" spans="1:14" ht="31.5" customHeight="1" x14ac:dyDescent="0.2">
      <c r="A28" s="284" t="s">
        <v>143</v>
      </c>
      <c r="B28" s="795" t="s">
        <v>365</v>
      </c>
      <c r="C28" s="796"/>
      <c r="D28" s="797"/>
      <c r="E28" s="282" t="s">
        <v>366</v>
      </c>
      <c r="J28" s="4">
        <v>27</v>
      </c>
      <c r="K28" s="4">
        <v>57</v>
      </c>
      <c r="L28" t="s">
        <v>562</v>
      </c>
      <c r="M28" t="s">
        <v>563</v>
      </c>
      <c r="N28" t="s">
        <v>564</v>
      </c>
    </row>
    <row r="29" spans="1:14" ht="31.5" customHeight="1" x14ac:dyDescent="0.2">
      <c r="A29" s="281" t="s">
        <v>144</v>
      </c>
      <c r="B29" s="795" t="s">
        <v>142</v>
      </c>
      <c r="C29" s="796"/>
      <c r="D29" s="797"/>
      <c r="E29" s="282" t="s">
        <v>138</v>
      </c>
      <c r="J29" s="4">
        <v>28</v>
      </c>
      <c r="K29" s="4">
        <v>58</v>
      </c>
      <c r="L29" t="s">
        <v>565</v>
      </c>
      <c r="M29" t="s">
        <v>566</v>
      </c>
      <c r="N29" t="s">
        <v>567</v>
      </c>
    </row>
    <row r="30" spans="1:14" ht="31.5" customHeight="1" x14ac:dyDescent="0.2">
      <c r="A30" s="284" t="s">
        <v>145</v>
      </c>
      <c r="B30" s="795" t="s">
        <v>375</v>
      </c>
      <c r="C30" s="796"/>
      <c r="D30" s="797"/>
      <c r="E30" s="282" t="s">
        <v>138</v>
      </c>
      <c r="J30" s="4">
        <v>29</v>
      </c>
      <c r="K30" s="4">
        <v>59</v>
      </c>
      <c r="L30" t="s">
        <v>568</v>
      </c>
      <c r="M30" t="s">
        <v>569</v>
      </c>
      <c r="N30" t="s">
        <v>570</v>
      </c>
    </row>
    <row r="31" spans="1:14" ht="31.5" customHeight="1" x14ac:dyDescent="0.2">
      <c r="A31" s="284" t="s">
        <v>163</v>
      </c>
      <c r="B31" s="795" t="s">
        <v>376</v>
      </c>
      <c r="C31" s="796"/>
      <c r="D31" s="797"/>
      <c r="E31" s="282" t="s">
        <v>139</v>
      </c>
      <c r="J31" s="4">
        <v>30</v>
      </c>
      <c r="K31" s="4">
        <v>60</v>
      </c>
      <c r="L31" t="s">
        <v>571</v>
      </c>
      <c r="M31" t="s">
        <v>572</v>
      </c>
      <c r="N31" t="s">
        <v>573</v>
      </c>
    </row>
    <row r="32" spans="1:14" ht="31.5" customHeight="1" x14ac:dyDescent="0.2">
      <c r="A32" s="284" t="s">
        <v>164</v>
      </c>
      <c r="B32" s="804" t="s">
        <v>165</v>
      </c>
      <c r="C32" s="805"/>
      <c r="D32" s="806"/>
      <c r="E32" s="286" t="s">
        <v>138</v>
      </c>
    </row>
    <row r="33" spans="1:5" ht="20.25" customHeight="1" x14ac:dyDescent="0.15">
      <c r="A33" s="283" t="s">
        <v>209</v>
      </c>
      <c r="B33" s="287"/>
      <c r="C33" s="287"/>
      <c r="D33" s="287"/>
      <c r="E33" s="153"/>
    </row>
    <row r="34" spans="1:5" ht="15.75" customHeight="1" x14ac:dyDescent="0.2">
      <c r="A34" s="213" t="s">
        <v>115</v>
      </c>
      <c r="B34" s="213" t="s">
        <v>210</v>
      </c>
      <c r="C34" s="213" t="s">
        <v>216</v>
      </c>
      <c r="D34" s="213" t="s">
        <v>214</v>
      </c>
      <c r="E34" s="213" t="s">
        <v>215</v>
      </c>
    </row>
    <row r="35" spans="1:5" ht="15.75" customHeight="1" x14ac:dyDescent="0.2">
      <c r="A35" s="213" t="s">
        <v>222</v>
      </c>
      <c r="B35" s="213" t="s">
        <v>207</v>
      </c>
      <c r="C35" s="639" t="str">
        <f>IF($I$8=25,VLOOKUP($I$8+1,$K$2:$N$25,3,FALSE)&amp;"～"&amp;VLOOKUP($I$8+4,$K$2:$N$25,4,FALSE),IF(AND($I$8&gt;=26,$I$8&lt;=30),VLOOKUP($I$8+1,$K$2:$N$25,3,FALSE)&amp;"～"&amp;VLOOKUP($I$8+4,$K$2:$N$25,2,FALSE),IF(AND($I$8&gt;=31,$I$8&lt;=54),VLOOKUP($I$8+1,$K$2:$N$25,3,FALSE)&amp;"～"&amp;VLOOKUP($I$8+4,$K$2:$N$25,4,FALSE))))</f>
        <v>令和9～12年度</v>
      </c>
      <c r="D35" s="639" t="str">
        <f>IF($I$14=25,VLOOKUP($I$14-3,$K$2:$N$25,3,FALSE)&amp;"～"&amp;VLOOKUP($I$14,$K$2:$N$25,4,FALSE),IF(AND($I$14&gt;=26,$I$14&lt;=30),VLOOKUP($I$14-3,$K$2:$N$25,3,FALSE)&amp;"～"&amp;VLOOKUP($I$14,$K$2:$N$25,2,FALSE),IF(AND($I$14&gt;=31,$I$14&lt;=54),VLOOKUP($I$14-3,$K$2:$N$25,3,FALSE)&amp;"～"&amp;VLOOKUP($I$14,$K$2:$N$25,4,FALSE))))</f>
        <v>令和5～8年度</v>
      </c>
      <c r="E35" s="639" t="str">
        <f>IF($I$14=25,VLOOKUP($I$14+1,$K$2:$N$25,3,FALSE)&amp;"～"&amp;VLOOKUP($I$14+4,$K$2:$N$25,4,FALSE),IF(AND($I$14&gt;=26,$I$14&lt;=30),VLOOKUP($I$14+1,$K$2:$N$25,3,FALSE)&amp;"～"&amp;VLOOKUP($I$14+4,$K$2:$N$25,2,FALSE),IF(AND($I$14&gt;=31,$I$14&lt;=54),VLOOKUP($I$14+1,$K$2:$N$25,3,FALSE)&amp;"～"&amp;VLOOKUP($I$14+4,$K$2:$N$25,4,FALSE))))</f>
        <v>令和9～12年度</v>
      </c>
    </row>
    <row r="36" spans="1:5" ht="15.75" customHeight="1" x14ac:dyDescent="0.2">
      <c r="A36" s="213" t="s">
        <v>223</v>
      </c>
      <c r="B36" s="213" t="s">
        <v>208</v>
      </c>
      <c r="C36" s="639" t="str">
        <f>IF($I$8=25,VLOOKUP($I$8,$K$2:$N$25,3,FALSE)&amp;"～"&amp;VLOOKUP($I$8+4,$K$2:$N$25,4,FALSE),IF(AND($I$8&gt;=26,$I$8&lt;=30),VLOOKUP($I$8,$K$2:$N$25,3,FALSE)&amp;"～"&amp;VLOOKUP($I$8+4,$K$2:$N$25,2,FALSE),IF(AND($I$8&gt;=31,$I$8&lt;=54),VLOOKUP($I$8,$K$2:$N$25,3,FALSE)&amp;"～"&amp;VLOOKUP($I$8+4,$K$2:$N$25,4,FALSE))))</f>
        <v>令和8～12年度</v>
      </c>
      <c r="D36" s="639" t="str">
        <f>IF($I$14=25,VLOOKUP($I$14-3,$K$2:$N$25,3,FALSE)&amp;"～"&amp;VLOOKUP($I$14-1,$K$2:$N$25,4,FALSE),IF(AND($I$14&gt;=26,$I$14&lt;=30),VLOOKUP($I$14-3,$K$2:$N$25,3,FALSE)&amp;"～"&amp;VLOOKUP($I$14-1,$K$2:$N$25,2,FALSE),IF(AND($I$14&gt;=31,$I$14&lt;=54),VLOOKUP($I$14-3,$K$2:$N$25,3,FALSE)&amp;"～"&amp;VLOOKUP($I$14-1,$K$2:$N$25,4,FALSE))))</f>
        <v>令和5～7年度</v>
      </c>
      <c r="E36" s="639" t="str">
        <f>IF($I$14=25,VLOOKUP($I$14,$K$2:$N$25,3,FALSE)&amp;"～"&amp;VLOOKUP($I$14+4,$K$2:$N$25,4,FALSE),IF(AND($I$14&gt;=26,$I$14&lt;=30),VLOOKUP($I$14,$K$2:$N$25,3,FALSE)&amp;"～"&amp;VLOOKUP($I$14+4,$K$2:$N$25,2,FALSE),IF(AND($I$14&gt;=31,$I$14&lt;=54),VLOOKUP($I$14,$K$2:$N$25,3,FALSE)&amp;"～"&amp;VLOOKUP($I$14+4,$K$2:$N$25,4,FALSE))))</f>
        <v>令和8～12年度</v>
      </c>
    </row>
    <row r="37" spans="1:5" ht="20.25" customHeight="1" x14ac:dyDescent="0.2">
      <c r="A37" s="82"/>
    </row>
    <row r="38" spans="1:5" ht="18" customHeight="1" x14ac:dyDescent="0.2">
      <c r="A38" s="284" t="s">
        <v>71</v>
      </c>
      <c r="B38" s="798" t="s">
        <v>72</v>
      </c>
      <c r="C38" s="799"/>
      <c r="D38" s="800"/>
    </row>
    <row r="39" spans="1:5" ht="25.5" customHeight="1" x14ac:dyDescent="0.2">
      <c r="A39" s="285" t="str">
        <f>B2</f>
        <v>131999</v>
      </c>
      <c r="B39" s="801" t="str">
        <f>B5</f>
        <v>東西大学</v>
      </c>
      <c r="C39" s="802"/>
      <c r="D39" s="803"/>
    </row>
    <row r="40" spans="1:5" x14ac:dyDescent="0.2">
      <c r="A40" s="153"/>
      <c r="B40" s="287"/>
      <c r="C40" s="287"/>
      <c r="D40" s="287"/>
    </row>
  </sheetData>
  <mergeCells count="19">
    <mergeCell ref="B26:D26"/>
    <mergeCell ref="A20:E20"/>
    <mergeCell ref="B22:D22"/>
    <mergeCell ref="B23:D23"/>
    <mergeCell ref="B24:D24"/>
    <mergeCell ref="B25:D25"/>
    <mergeCell ref="B2:D2"/>
    <mergeCell ref="B14:D14"/>
    <mergeCell ref="B11:D11"/>
    <mergeCell ref="B8:D8"/>
    <mergeCell ref="B5:D5"/>
    <mergeCell ref="B27:D27"/>
    <mergeCell ref="B29:D29"/>
    <mergeCell ref="B38:D38"/>
    <mergeCell ref="B39:D39"/>
    <mergeCell ref="B32:D32"/>
    <mergeCell ref="B31:D31"/>
    <mergeCell ref="B30:D30"/>
    <mergeCell ref="B28:D28"/>
  </mergeCells>
  <phoneticPr fontId="2"/>
  <dataValidations count="1">
    <dataValidation type="list" allowBlank="1" showInputMessage="1" showErrorMessage="1" sqref="F8 F14">
      <formula1>$J$2:$J$25</formula1>
    </dataValidation>
  </dataValidations>
  <printOptions horizontalCentered="1" verticalCentered="1"/>
  <pageMargins left="0.78740157480314965" right="0.47244094488188981" top="0.39370078740157483" bottom="0.62992125984251968" header="0" footer="0.31496062992125984"/>
  <pageSetup paperSize="9" scale="120" orientation="portrait" r:id="rId1"/>
  <headerFooter alignWithMargins="0"/>
  <ignoredErrors>
    <ignoredError sqref="D35:D36"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70"/>
  <sheetViews>
    <sheetView zoomScale="85" zoomScaleNormal="85" zoomScaleSheetLayoutView="85" workbookViewId="0">
      <pane xSplit="8" ySplit="3" topLeftCell="I4" activePane="bottomRight" state="frozen"/>
      <selection activeCell="H18" sqref="H18"/>
      <selection pane="topRight" activeCell="H18" sqref="H18"/>
      <selection pane="bottomLeft" activeCell="H18" sqref="H18"/>
      <selection pane="bottomRight"/>
    </sheetView>
  </sheetViews>
  <sheetFormatPr defaultColWidth="5.21875" defaultRowHeight="13.2" x14ac:dyDescent="0.2"/>
  <cols>
    <col min="1" max="2" width="4.21875" style="218" customWidth="1"/>
    <col min="3" max="3" width="0.88671875" style="218" customWidth="1"/>
    <col min="4" max="4" width="4.33203125" style="218" customWidth="1"/>
    <col min="5" max="5" width="1.6640625" style="218" customWidth="1"/>
    <col min="6" max="6" width="22.33203125" style="218" customWidth="1"/>
    <col min="7" max="7" width="15" style="218" customWidth="1"/>
    <col min="8" max="8" width="6.77734375" style="218" customWidth="1"/>
    <col min="9" max="16" width="11.88671875" style="219" customWidth="1"/>
    <col min="17" max="17" width="13.88671875" style="218" customWidth="1"/>
    <col min="18" max="16384" width="5.21875" style="218"/>
  </cols>
  <sheetData>
    <row r="1" spans="1:17" ht="66" customHeight="1" x14ac:dyDescent="0.2">
      <c r="A1" s="17" t="s">
        <v>275</v>
      </c>
      <c r="G1" s="149"/>
      <c r="H1" s="17" t="str">
        <f>CONCATENATE("（","法人番号：",入力!B2,"　　","法人名：",入力!B5,"）")</f>
        <v>（法人番号：131999　　法人名：東西大学）</v>
      </c>
      <c r="I1" s="289"/>
      <c r="J1" s="289"/>
      <c r="K1" s="289"/>
      <c r="L1" s="290"/>
      <c r="M1" s="290"/>
      <c r="O1" s="291"/>
      <c r="P1" s="269"/>
      <c r="Q1" s="269" t="s">
        <v>380</v>
      </c>
    </row>
    <row r="2" spans="1:17" ht="27.75" customHeight="1" thickBot="1" x14ac:dyDescent="0.25">
      <c r="A2" s="17"/>
      <c r="G2" s="149"/>
      <c r="H2" s="149"/>
      <c r="I2" s="289"/>
      <c r="J2" s="289"/>
      <c r="K2" s="289"/>
      <c r="L2" s="290"/>
      <c r="M2" s="290"/>
      <c r="O2" s="291"/>
      <c r="P2" s="265"/>
      <c r="Q2" s="274" t="str">
        <f>様式1!K2</f>
        <v>新規</v>
      </c>
    </row>
    <row r="3" spans="1:17" s="220" customFormat="1" ht="34.5" customHeight="1" thickTop="1" x14ac:dyDescent="0.2">
      <c r="A3" s="292"/>
      <c r="B3" s="894" t="s">
        <v>276</v>
      </c>
      <c r="C3" s="895"/>
      <c r="D3" s="895"/>
      <c r="E3" s="895"/>
      <c r="F3" s="895"/>
      <c r="G3" s="895"/>
      <c r="H3" s="896"/>
      <c r="I3" s="678" t="str">
        <f>VLOOKUP(入力!$I$14-3,和暦表示!$B$10:$D$35,3,FALSE)</f>
        <v>5年度実績</v>
      </c>
      <c r="J3" s="679" t="str">
        <f>VLOOKUP(入力!$I$14-2,和暦表示!$B$10:$D$35,3,FALSE)</f>
        <v>6年度実績</v>
      </c>
      <c r="K3" s="680" t="str">
        <f>VLOOKUP(入力!$I$14-1,和暦表示!$B$10:$D$35,3,FALSE)</f>
        <v>7年度実績</v>
      </c>
      <c r="L3" s="681" t="str">
        <f>VLOOKUP(入力!$I$14,和暦表示!$B$10:$D$35,3,FALSE)</f>
        <v>8年度見込</v>
      </c>
      <c r="M3" s="682" t="str">
        <f>VLOOKUP(入力!$I$14+1,和暦表示!$B$10:$D$35,3,FALSE)</f>
        <v>9年度見込</v>
      </c>
      <c r="N3" s="682" t="str">
        <f>VLOOKUP(入力!$I$14+2,和暦表示!$B$10:$D$35,3,FALSE)</f>
        <v>10年度見込</v>
      </c>
      <c r="O3" s="682" t="str">
        <f>VLOOKUP(入力!$I$14+3,和暦表示!$B$10:$D$35,3,FALSE)</f>
        <v>11年度見込</v>
      </c>
      <c r="P3" s="683" t="str">
        <f>VLOOKUP(入力!$I$14+4,和暦表示!$B$10:$D$35,3,FALSE)</f>
        <v>12年度見込</v>
      </c>
      <c r="Q3" s="684" t="str">
        <f>"当初最終年度
"&amp;VLOOKUP(入力!$I$8+4,和暦表示!$B$10:$D$35,3,FALSE)</f>
        <v>当初最終年度
12年度見込</v>
      </c>
    </row>
    <row r="4" spans="1:17" ht="20.25" customHeight="1" x14ac:dyDescent="0.2">
      <c r="A4" s="897" t="s">
        <v>277</v>
      </c>
      <c r="B4" s="899" t="s">
        <v>278</v>
      </c>
      <c r="C4" s="221"/>
      <c r="D4" s="900" t="s">
        <v>279</v>
      </c>
      <c r="E4" s="900"/>
      <c r="F4" s="900"/>
      <c r="G4" s="900"/>
      <c r="H4" s="900"/>
      <c r="I4" s="383">
        <f>IF(入力!$I$14-3&lt;27,0,様式4!E4)</f>
        <v>0</v>
      </c>
      <c r="J4" s="384">
        <f>IF(入力!$I$14-2&lt;27,0,様式4!F4)</f>
        <v>0</v>
      </c>
      <c r="K4" s="385">
        <f>IF(入力!$I$14-1&lt;27,0,様式4!G4)</f>
        <v>0</v>
      </c>
      <c r="L4" s="383">
        <f>IF(入力!$I$14&lt;27,0,様式4!H4)</f>
        <v>0</v>
      </c>
      <c r="M4" s="384">
        <f>IF(入力!$I$14+1&lt;27,0,様式4!I4)</f>
        <v>0</v>
      </c>
      <c r="N4" s="384">
        <f>IF(入力!$I$14+2&lt;27,0,様式4!J4)</f>
        <v>0</v>
      </c>
      <c r="O4" s="384">
        <f>IF(入力!$I$14+3&lt;27,0,様式4!K4)</f>
        <v>0</v>
      </c>
      <c r="P4" s="386">
        <f>IF(入力!$I$14+4&lt;27,0,様式4!L4)</f>
        <v>0</v>
      </c>
      <c r="Q4" s="610">
        <f>様式4!M4</f>
        <v>0</v>
      </c>
    </row>
    <row r="5" spans="1:17" ht="20.25" customHeight="1" x14ac:dyDescent="0.2">
      <c r="A5" s="898"/>
      <c r="B5" s="892"/>
      <c r="C5" s="222"/>
      <c r="D5" s="901" t="s">
        <v>53</v>
      </c>
      <c r="E5" s="901"/>
      <c r="F5" s="901"/>
      <c r="G5" s="901"/>
      <c r="H5" s="901"/>
      <c r="I5" s="388">
        <f>IF(入力!$I$14-3&lt;27,0,様式4!E7)</f>
        <v>0</v>
      </c>
      <c r="J5" s="389">
        <f>IF(入力!$I$14-2&lt;27,0,様式4!F7)</f>
        <v>0</v>
      </c>
      <c r="K5" s="390">
        <f>IF(入力!$I$14-1&lt;27,0,様式4!G7)</f>
        <v>0</v>
      </c>
      <c r="L5" s="388">
        <f>IF(入力!$I$14&lt;27,0,様式4!H7)</f>
        <v>0</v>
      </c>
      <c r="M5" s="389">
        <f>IF(入力!$I$14+1&lt;27,0,様式4!I7)</f>
        <v>0</v>
      </c>
      <c r="N5" s="389">
        <f>IF(入力!$I$14+2&lt;27,0,様式4!J7)</f>
        <v>0</v>
      </c>
      <c r="O5" s="389">
        <f>IF(入力!$I$14+3&lt;27,0,様式4!K7)</f>
        <v>0</v>
      </c>
      <c r="P5" s="391">
        <f>IF(入力!$I$14+4&lt;27,0,様式4!L7)</f>
        <v>0</v>
      </c>
      <c r="Q5" s="611">
        <f>様式4!M7</f>
        <v>0</v>
      </c>
    </row>
    <row r="6" spans="1:17" ht="20.25" customHeight="1" x14ac:dyDescent="0.2">
      <c r="A6" s="898"/>
      <c r="B6" s="892"/>
      <c r="C6" s="222"/>
      <c r="D6" s="901" t="s">
        <v>280</v>
      </c>
      <c r="E6" s="902"/>
      <c r="F6" s="902"/>
      <c r="G6" s="902"/>
      <c r="H6" s="903"/>
      <c r="I6" s="388">
        <f>IF(入力!$I$14-3&lt;27,0,様式4!E9-様式6!I63)</f>
        <v>0</v>
      </c>
      <c r="J6" s="389">
        <f>IF(入力!$I$14-2&lt;27,0,様式4!F9-様式6!J63)</f>
        <v>0</v>
      </c>
      <c r="K6" s="390">
        <f>IF(入力!$I$14-1&lt;27,0,様式4!G9-様式6!K63)</f>
        <v>0</v>
      </c>
      <c r="L6" s="388">
        <f>IF(入力!$I$14&lt;27,0,様式4!H9-様式6!L63)</f>
        <v>0</v>
      </c>
      <c r="M6" s="389">
        <f>IF(入力!$I$14+1&lt;27,0,様式4!I9-様式6!M63)</f>
        <v>0</v>
      </c>
      <c r="N6" s="389">
        <f>IF(入力!$I$14+2&lt;27,0,様式4!J9-様式6!N63)</f>
        <v>0</v>
      </c>
      <c r="O6" s="389">
        <f>IF(入力!$I$14+3&lt;27,0,様式4!K9-様式6!O63)</f>
        <v>0</v>
      </c>
      <c r="P6" s="391">
        <f>IF(入力!$I$14+4&lt;27,0,様式4!L9-様式6!P63)</f>
        <v>0</v>
      </c>
      <c r="Q6" s="611">
        <f>様式4!M9-Q63</f>
        <v>0</v>
      </c>
    </row>
    <row r="7" spans="1:17" ht="20.25" customHeight="1" x14ac:dyDescent="0.2">
      <c r="A7" s="898"/>
      <c r="B7" s="892"/>
      <c r="C7" s="222"/>
      <c r="D7" s="901" t="s">
        <v>54</v>
      </c>
      <c r="E7" s="901"/>
      <c r="F7" s="901"/>
      <c r="G7" s="901"/>
      <c r="H7" s="901"/>
      <c r="I7" s="388">
        <f>IF(入力!$I$14-3&lt;27,0,様式4!E10)</f>
        <v>0</v>
      </c>
      <c r="J7" s="389">
        <f>IF(入力!$I$14-2&lt;27,0,様式4!F10)</f>
        <v>0</v>
      </c>
      <c r="K7" s="390">
        <f>IF(入力!$I$14-1&lt;27,0,様式4!G10)</f>
        <v>0</v>
      </c>
      <c r="L7" s="388">
        <f>IF(入力!$I$14&lt;27,0,様式4!H10)</f>
        <v>0</v>
      </c>
      <c r="M7" s="389">
        <f>IF(入力!$I$14+1&lt;27,0,様式4!I10)</f>
        <v>0</v>
      </c>
      <c r="N7" s="389">
        <f>IF(入力!$I$14+2&lt;27,0,様式4!J10)</f>
        <v>0</v>
      </c>
      <c r="O7" s="389">
        <f>IF(入力!$I$14+3&lt;27,0,様式4!K10)</f>
        <v>0</v>
      </c>
      <c r="P7" s="391">
        <f>IF(入力!$I$14+4&lt;27,0,様式4!L10)</f>
        <v>0</v>
      </c>
      <c r="Q7" s="611">
        <f>様式4!M10</f>
        <v>0</v>
      </c>
    </row>
    <row r="8" spans="1:17" ht="20.25" customHeight="1" x14ac:dyDescent="0.2">
      <c r="A8" s="898"/>
      <c r="B8" s="892"/>
      <c r="C8" s="280"/>
      <c r="D8" s="904" t="s">
        <v>281</v>
      </c>
      <c r="E8" s="901"/>
      <c r="F8" s="901"/>
      <c r="G8" s="901"/>
      <c r="H8" s="901"/>
      <c r="I8" s="388">
        <f>IF(入力!$I$14-3&lt;27,0,様式4!E11-様式6!I64)</f>
        <v>0</v>
      </c>
      <c r="J8" s="389">
        <f>IF(入力!$I$14-2&lt;27,0,様式4!F11-様式6!J64)</f>
        <v>0</v>
      </c>
      <c r="K8" s="390">
        <f>IF(入力!$I$14-1&lt;27,0,様式4!G11-様式6!K64)</f>
        <v>0</v>
      </c>
      <c r="L8" s="388">
        <f>IF(入力!$I$14&lt;27,0,様式4!H11-様式6!L64)</f>
        <v>0</v>
      </c>
      <c r="M8" s="389">
        <f>IF(入力!$I$14+1&lt;27,0,様式4!I11-様式6!M64)</f>
        <v>0</v>
      </c>
      <c r="N8" s="389">
        <f>IF(入力!$I$14+2&lt;27,0,様式4!J11-様式6!N64)</f>
        <v>0</v>
      </c>
      <c r="O8" s="389">
        <f>IF(入力!$I$14+3&lt;27,0,様式4!K11-様式6!O64)</f>
        <v>0</v>
      </c>
      <c r="P8" s="391">
        <f>IF(入力!$I$14+4&lt;27,0,様式4!L11-様式6!P64)</f>
        <v>0</v>
      </c>
      <c r="Q8" s="611">
        <f>様式4!M11-Q64</f>
        <v>0</v>
      </c>
    </row>
    <row r="9" spans="1:17" ht="20.25" customHeight="1" x14ac:dyDescent="0.2">
      <c r="A9" s="898"/>
      <c r="B9" s="892"/>
      <c r="C9" s="222"/>
      <c r="D9" s="901" t="s">
        <v>282</v>
      </c>
      <c r="E9" s="901"/>
      <c r="F9" s="901"/>
      <c r="G9" s="901"/>
      <c r="H9" s="901"/>
      <c r="I9" s="388">
        <f>IF(入力!$I$14-3&lt;27,0,様式4!E22-様式6!I65)</f>
        <v>0</v>
      </c>
      <c r="J9" s="389">
        <f>IF(入力!$I$14-2&lt;27,0,様式4!F22-様式6!J65)</f>
        <v>0</v>
      </c>
      <c r="K9" s="390">
        <f>IF(入力!$I$14-1&lt;27,0,様式4!G22-様式6!K65)</f>
        <v>0</v>
      </c>
      <c r="L9" s="388">
        <f>IF(入力!$I$14&lt;27,0,様式4!H22-様式6!L65)</f>
        <v>0</v>
      </c>
      <c r="M9" s="389">
        <f>IF(入力!$I$14+1&lt;27,0,様式4!I22-様式6!M65)</f>
        <v>0</v>
      </c>
      <c r="N9" s="389">
        <f>IF(入力!$I$14+2&lt;27,0,様式4!J22-様式6!N65)</f>
        <v>0</v>
      </c>
      <c r="O9" s="389">
        <f>IF(入力!$I$14+3&lt;27,0,様式4!K22-様式6!O65)</f>
        <v>0</v>
      </c>
      <c r="P9" s="391">
        <f>IF(入力!$I$14+4&lt;27,0,様式4!L22-様式6!P65)</f>
        <v>0</v>
      </c>
      <c r="Q9" s="611">
        <f>様式4!M22-Q65</f>
        <v>0</v>
      </c>
    </row>
    <row r="10" spans="1:17" ht="20.25" customHeight="1" x14ac:dyDescent="0.2">
      <c r="A10" s="898"/>
      <c r="B10" s="892"/>
      <c r="C10" s="222"/>
      <c r="D10" s="905" t="s">
        <v>9</v>
      </c>
      <c r="E10" s="905"/>
      <c r="F10" s="905"/>
      <c r="G10" s="901"/>
      <c r="H10" s="901"/>
      <c r="I10" s="388">
        <f>IF(入力!$I$14-3&lt;27,0,様式4!E24-様式6!I66)</f>
        <v>0</v>
      </c>
      <c r="J10" s="389">
        <f>IF(入力!$I$14-2&lt;27,0,様式4!F24-様式6!J66)</f>
        <v>0</v>
      </c>
      <c r="K10" s="390">
        <f>IF(入力!$I$14-1&lt;27,0,様式4!G24-様式6!K66)</f>
        <v>0</v>
      </c>
      <c r="L10" s="388">
        <f>IF(入力!$I$14&lt;27,0,様式4!H24-様式6!L66)</f>
        <v>0</v>
      </c>
      <c r="M10" s="389">
        <f>IF(入力!$I$14+1&lt;27,0,様式4!I24-様式6!M66)</f>
        <v>0</v>
      </c>
      <c r="N10" s="389">
        <f>IF(入力!$I$14+2&lt;27,0,様式4!J24-様式6!N66)</f>
        <v>0</v>
      </c>
      <c r="O10" s="389">
        <f>IF(入力!$I$14+3&lt;27,0,様式4!K24-様式6!O66)</f>
        <v>0</v>
      </c>
      <c r="P10" s="391">
        <f>IF(入力!$I$14+4&lt;27,0,様式4!L24-様式6!P66)</f>
        <v>0</v>
      </c>
      <c r="Q10" s="611">
        <f>様式4!M24-Q66</f>
        <v>0</v>
      </c>
    </row>
    <row r="11" spans="1:17" ht="20.25" customHeight="1" x14ac:dyDescent="0.2">
      <c r="A11" s="898"/>
      <c r="B11" s="892"/>
      <c r="C11" s="755"/>
      <c r="D11" s="906" t="s">
        <v>283</v>
      </c>
      <c r="E11" s="906"/>
      <c r="F11" s="906"/>
      <c r="G11" s="906"/>
      <c r="H11" s="906"/>
      <c r="I11" s="756"/>
      <c r="J11" s="757"/>
      <c r="K11" s="758"/>
      <c r="L11" s="759"/>
      <c r="M11" s="757"/>
      <c r="N11" s="757"/>
      <c r="O11" s="757"/>
      <c r="P11" s="760"/>
      <c r="Q11" s="760"/>
    </row>
    <row r="12" spans="1:17" ht="20.25" customHeight="1" x14ac:dyDescent="0.2">
      <c r="A12" s="898"/>
      <c r="B12" s="893"/>
      <c r="C12" s="229"/>
      <c r="D12" s="907" t="s">
        <v>284</v>
      </c>
      <c r="E12" s="907"/>
      <c r="F12" s="907"/>
      <c r="G12" s="907"/>
      <c r="H12" s="908"/>
      <c r="I12" s="405">
        <f>IF(入力!$I$14-3&gt;=27,SUM(I4:I11),0)</f>
        <v>0</v>
      </c>
      <c r="J12" s="406">
        <f>IF(入力!$I$14-2&gt;=27,SUM(J4:J11),0)</f>
        <v>0</v>
      </c>
      <c r="K12" s="376">
        <f>IF(入力!$I$14-1&gt;=27,SUM(K4:K11),0)</f>
        <v>0</v>
      </c>
      <c r="L12" s="375">
        <f>IF(入力!$I$14&gt;=27,SUM(L4:L11),0)</f>
        <v>0</v>
      </c>
      <c r="M12" s="406">
        <f>IF(入力!$I$14+1&gt;=27,SUM(M4:M11),0)</f>
        <v>0</v>
      </c>
      <c r="N12" s="406">
        <f>IF(入力!$I$14+2&gt;=27,SUM(N4:N11),0)</f>
        <v>0</v>
      </c>
      <c r="O12" s="406">
        <f>IF(入力!$I$14+3&gt;=27,SUM(O4:O11),0)</f>
        <v>0</v>
      </c>
      <c r="P12" s="407">
        <f>IF(入力!$I$14+4&gt;=27,SUM(P4:P11),0)</f>
        <v>0</v>
      </c>
      <c r="Q12" s="615">
        <f>SUM(Q4:Q11)</f>
        <v>0</v>
      </c>
    </row>
    <row r="13" spans="1:17" ht="20.25" customHeight="1" x14ac:dyDescent="0.2">
      <c r="A13" s="898"/>
      <c r="B13" s="899" t="s">
        <v>285</v>
      </c>
      <c r="C13" s="223"/>
      <c r="D13" s="909" t="s">
        <v>56</v>
      </c>
      <c r="E13" s="909"/>
      <c r="F13" s="909"/>
      <c r="G13" s="909"/>
      <c r="H13" s="909"/>
      <c r="I13" s="397">
        <f>IF(入力!$I$14-3&lt;27,0,様式4!E45)</f>
        <v>0</v>
      </c>
      <c r="J13" s="398">
        <f>IF(入力!$I$14-2&lt;27,0,様式4!F45)</f>
        <v>0</v>
      </c>
      <c r="K13" s="399">
        <f>IF(入力!$I$14-1&lt;27,0,様式4!G45)</f>
        <v>0</v>
      </c>
      <c r="L13" s="400">
        <f>IF(入力!$I$14&lt;27,0,様式4!H45)</f>
        <v>0</v>
      </c>
      <c r="M13" s="398">
        <f>IF(入力!$I$14+1&lt;27,0,様式4!I45)</f>
        <v>0</v>
      </c>
      <c r="N13" s="398">
        <f>IF(入力!$I$14+2&lt;27,0,様式4!J45)</f>
        <v>0</v>
      </c>
      <c r="O13" s="398">
        <f>IF(入力!$I$14+3&lt;27,0,様式4!K45)</f>
        <v>0</v>
      </c>
      <c r="P13" s="401">
        <f>IF(入力!$I$14+4&lt;27,0,様式4!L45)</f>
        <v>0</v>
      </c>
      <c r="Q13" s="613">
        <f>様式4!M45</f>
        <v>0</v>
      </c>
    </row>
    <row r="14" spans="1:17" ht="20.25" customHeight="1" x14ac:dyDescent="0.2">
      <c r="A14" s="898"/>
      <c r="B14" s="892"/>
      <c r="C14" s="222"/>
      <c r="D14" s="901" t="s">
        <v>57</v>
      </c>
      <c r="E14" s="901"/>
      <c r="F14" s="901"/>
      <c r="G14" s="901"/>
      <c r="H14" s="901"/>
      <c r="I14" s="402">
        <f>IF(入力!$I$14-3&lt;27,0,様式4!E52)</f>
        <v>0</v>
      </c>
      <c r="J14" s="389">
        <f>IF(入力!$I$14-2&lt;27,0,様式4!F52)</f>
        <v>0</v>
      </c>
      <c r="K14" s="403">
        <f>IF(入力!$I$14-1&lt;27,0,様式4!G52)</f>
        <v>0</v>
      </c>
      <c r="L14" s="388">
        <f>IF(入力!$I$14&lt;27,0,様式4!H52)</f>
        <v>0</v>
      </c>
      <c r="M14" s="389">
        <f>IF(入力!$I$14+1&lt;27,0,様式4!I52)</f>
        <v>0</v>
      </c>
      <c r="N14" s="389">
        <f>IF(入力!$I$14+2&lt;27,0,様式4!J52)</f>
        <v>0</v>
      </c>
      <c r="O14" s="389">
        <f>IF(入力!$I$14+3&lt;27,0,様式4!K52)</f>
        <v>0</v>
      </c>
      <c r="P14" s="391">
        <f>IF(入力!$I$14+4&lt;27,0,様式4!L52)</f>
        <v>0</v>
      </c>
      <c r="Q14" s="614">
        <f>様式4!M52</f>
        <v>0</v>
      </c>
    </row>
    <row r="15" spans="1:17" ht="20.25" customHeight="1" x14ac:dyDescent="0.2">
      <c r="A15" s="898"/>
      <c r="B15" s="892"/>
      <c r="C15" s="761"/>
      <c r="D15" s="910" t="s">
        <v>58</v>
      </c>
      <c r="E15" s="910"/>
      <c r="F15" s="910"/>
      <c r="G15" s="910"/>
      <c r="H15" s="910"/>
      <c r="I15" s="392">
        <f>IF(入力!$I$14-3&lt;27,0,様式4!E53-様式6!I68-様式6!I69)</f>
        <v>0</v>
      </c>
      <c r="J15" s="393">
        <f>IF(入力!$I$14-2&lt;27,0,様式4!F53-様式6!J68-様式6!J69)</f>
        <v>0</v>
      </c>
      <c r="K15" s="394">
        <f>IF(入力!$I$14-1&lt;27,0,様式4!G53-様式6!K68-様式6!K69)</f>
        <v>0</v>
      </c>
      <c r="L15" s="395">
        <f>IF(入力!$I$14&lt;27,0,様式4!H53-様式6!L68-様式6!L69)</f>
        <v>0</v>
      </c>
      <c r="M15" s="393">
        <f>IF(入力!$I$14+1&lt;27,0,様式4!I53-様式6!M68-様式6!M69)</f>
        <v>0</v>
      </c>
      <c r="N15" s="393">
        <f>IF(入力!$I$14+2&lt;27,0,様式4!J53-様式6!N68-様式6!N69)</f>
        <v>0</v>
      </c>
      <c r="O15" s="393">
        <f>IF(入力!$I$14+3&lt;27,0,様式4!K53-様式6!O68-様式6!O69)</f>
        <v>0</v>
      </c>
      <c r="P15" s="396">
        <f>IF(入力!$I$14+4&lt;27,0,様式4!L53-様式6!P68-様式6!P69)</f>
        <v>0</v>
      </c>
      <c r="Q15" s="612">
        <f>様式4!M53-Q68-Q69</f>
        <v>0</v>
      </c>
    </row>
    <row r="16" spans="1:17" ht="20.25" customHeight="1" x14ac:dyDescent="0.2">
      <c r="A16" s="898"/>
      <c r="B16" s="893"/>
      <c r="C16" s="229"/>
      <c r="D16" s="907" t="s">
        <v>554</v>
      </c>
      <c r="E16" s="907"/>
      <c r="F16" s="907"/>
      <c r="G16" s="907"/>
      <c r="H16" s="908"/>
      <c r="I16" s="405">
        <f>IF(入力!$I$14-3&gt;=27,SUM(I13:I15),0)</f>
        <v>0</v>
      </c>
      <c r="J16" s="406">
        <f>IF(入力!$I$14-2&gt;=27,SUM(J13:J15),0)</f>
        <v>0</v>
      </c>
      <c r="K16" s="376">
        <f>IF(入力!$I$14-1&gt;=27,SUM(K13:K15),0)</f>
        <v>0</v>
      </c>
      <c r="L16" s="375">
        <f>IF(入力!$I$14&gt;=27,SUM(L13:L15),0)</f>
        <v>0</v>
      </c>
      <c r="M16" s="406">
        <f>IF(入力!$I$14+1&gt;=27,SUM(M13:M15),0)</f>
        <v>0</v>
      </c>
      <c r="N16" s="406">
        <f>IF(入力!$I$14+2&gt;=27,SUM(N13:N15),0)</f>
        <v>0</v>
      </c>
      <c r="O16" s="406">
        <f>IF(入力!$I$14+3&gt;=27,SUM(O13:O15),0)</f>
        <v>0</v>
      </c>
      <c r="P16" s="407">
        <f>IF(入力!$I$14+4&gt;=27,SUM(P13:P15),0)</f>
        <v>0</v>
      </c>
      <c r="Q16" s="615">
        <f>SUM(Q13:Q15)</f>
        <v>0</v>
      </c>
    </row>
    <row r="17" spans="1:17" ht="20.25" customHeight="1" x14ac:dyDescent="0.2">
      <c r="A17" s="898"/>
      <c r="B17" s="224"/>
      <c r="C17" s="225"/>
      <c r="D17" s="911" t="s">
        <v>286</v>
      </c>
      <c r="E17" s="912"/>
      <c r="F17" s="912"/>
      <c r="G17" s="912"/>
      <c r="H17" s="913"/>
      <c r="I17" s="405">
        <f>I12-I16</f>
        <v>0</v>
      </c>
      <c r="J17" s="406">
        <f t="shared" ref="J17:P17" si="0">J12-J16</f>
        <v>0</v>
      </c>
      <c r="K17" s="376">
        <f t="shared" si="0"/>
        <v>0</v>
      </c>
      <c r="L17" s="375">
        <f t="shared" si="0"/>
        <v>0</v>
      </c>
      <c r="M17" s="406">
        <f t="shared" si="0"/>
        <v>0</v>
      </c>
      <c r="N17" s="406">
        <f t="shared" si="0"/>
        <v>0</v>
      </c>
      <c r="O17" s="406">
        <f t="shared" si="0"/>
        <v>0</v>
      </c>
      <c r="P17" s="407">
        <f t="shared" si="0"/>
        <v>0</v>
      </c>
      <c r="Q17" s="615">
        <f>Q12-Q16</f>
        <v>0</v>
      </c>
    </row>
    <row r="18" spans="1:17" ht="20.25" customHeight="1" x14ac:dyDescent="0.2">
      <c r="A18" s="898"/>
      <c r="B18" s="224"/>
      <c r="C18" s="318"/>
      <c r="D18" s="914" t="s">
        <v>287</v>
      </c>
      <c r="E18" s="915"/>
      <c r="F18" s="915"/>
      <c r="G18" s="915"/>
      <c r="H18" s="916"/>
      <c r="I18" s="601"/>
      <c r="J18" s="602"/>
      <c r="K18" s="603"/>
      <c r="L18" s="604"/>
      <c r="M18" s="602"/>
      <c r="N18" s="602"/>
      <c r="O18" s="602"/>
      <c r="P18" s="605"/>
      <c r="Q18" s="605"/>
    </row>
    <row r="19" spans="1:17" ht="20.25" customHeight="1" thickBot="1" x14ac:dyDescent="0.25">
      <c r="A19" s="898"/>
      <c r="B19" s="917" t="s">
        <v>288</v>
      </c>
      <c r="C19" s="918"/>
      <c r="D19" s="918"/>
      <c r="E19" s="918"/>
      <c r="F19" s="918"/>
      <c r="G19" s="918"/>
      <c r="H19" s="919"/>
      <c r="I19" s="412">
        <f>I17+I18</f>
        <v>0</v>
      </c>
      <c r="J19" s="413">
        <f t="shared" ref="J19:P19" si="1">J17+J18</f>
        <v>0</v>
      </c>
      <c r="K19" s="380">
        <f t="shared" si="1"/>
        <v>0</v>
      </c>
      <c r="L19" s="379">
        <f t="shared" si="1"/>
        <v>0</v>
      </c>
      <c r="M19" s="413">
        <f t="shared" si="1"/>
        <v>0</v>
      </c>
      <c r="N19" s="413">
        <f t="shared" si="1"/>
        <v>0</v>
      </c>
      <c r="O19" s="413">
        <f t="shared" si="1"/>
        <v>0</v>
      </c>
      <c r="P19" s="414">
        <f t="shared" si="1"/>
        <v>0</v>
      </c>
      <c r="Q19" s="616">
        <f>Q17+Q18</f>
        <v>0</v>
      </c>
    </row>
    <row r="20" spans="1:17" ht="20.25" customHeight="1" x14ac:dyDescent="0.2">
      <c r="A20" s="920" t="s">
        <v>289</v>
      </c>
      <c r="B20" s="922" t="s">
        <v>278</v>
      </c>
      <c r="C20" s="293"/>
      <c r="D20" s="923" t="s">
        <v>290</v>
      </c>
      <c r="E20" s="923"/>
      <c r="F20" s="923"/>
      <c r="G20" s="923"/>
      <c r="H20" s="923"/>
      <c r="I20" s="416">
        <f>IF(入力!$I$14-3&lt;27,0,I63)</f>
        <v>0</v>
      </c>
      <c r="J20" s="417">
        <f>IF(入力!$I$14-2&lt;27,0,J63)</f>
        <v>0</v>
      </c>
      <c r="K20" s="418">
        <f>IF(入力!$I$14-1&lt;27,0,K63)</f>
        <v>0</v>
      </c>
      <c r="L20" s="416">
        <f>IF(入力!$I$14&lt;27,0,L63)</f>
        <v>0</v>
      </c>
      <c r="M20" s="417">
        <f>IF(入力!$I$14+1&lt;27,0,M63)</f>
        <v>0</v>
      </c>
      <c r="N20" s="417">
        <f>IF(入力!$I$14+2&lt;27,0,N63)</f>
        <v>0</v>
      </c>
      <c r="O20" s="417">
        <f>IF(入力!$I$14+3&lt;27,0,O63)</f>
        <v>0</v>
      </c>
      <c r="P20" s="419">
        <f>IF(入力!$I$14+4&lt;27,0,P63)</f>
        <v>0</v>
      </c>
      <c r="Q20" s="617">
        <f>Q63</f>
        <v>0</v>
      </c>
    </row>
    <row r="21" spans="1:17" ht="20.25" customHeight="1" x14ac:dyDescent="0.2">
      <c r="A21" s="898"/>
      <c r="B21" s="892"/>
      <c r="C21" s="222"/>
      <c r="D21" s="901" t="s">
        <v>291</v>
      </c>
      <c r="E21" s="901"/>
      <c r="F21" s="901"/>
      <c r="G21" s="901"/>
      <c r="H21" s="901"/>
      <c r="I21" s="420">
        <f>IF(入力!$I$14-3&lt;27,0,I64)</f>
        <v>0</v>
      </c>
      <c r="J21" s="421">
        <f>IF(入力!$I$14-2&lt;27,0,J64)</f>
        <v>0</v>
      </c>
      <c r="K21" s="422">
        <f>IF(入力!$I$14-1&lt;27,0,K64)</f>
        <v>0</v>
      </c>
      <c r="L21" s="420">
        <f>IF(入力!$I$14&lt;27,0,L64)</f>
        <v>0</v>
      </c>
      <c r="M21" s="421">
        <f>IF(入力!$I$14+1&lt;27,0,M64)</f>
        <v>0</v>
      </c>
      <c r="N21" s="421">
        <f>IF(入力!$I$14+2&lt;27,0,N64)</f>
        <v>0</v>
      </c>
      <c r="O21" s="421">
        <f>IF(入力!$I$14+3&lt;27,0,O64)</f>
        <v>0</v>
      </c>
      <c r="P21" s="423">
        <f>IF(入力!$I$14+4&lt;27,0,P64)</f>
        <v>0</v>
      </c>
      <c r="Q21" s="611">
        <f>Q64</f>
        <v>0</v>
      </c>
    </row>
    <row r="22" spans="1:17" ht="20.25" customHeight="1" x14ac:dyDescent="0.2">
      <c r="A22" s="898"/>
      <c r="B22" s="892"/>
      <c r="C22" s="222"/>
      <c r="D22" s="901" t="s">
        <v>292</v>
      </c>
      <c r="E22" s="901"/>
      <c r="F22" s="901"/>
      <c r="G22" s="901"/>
      <c r="H22" s="901"/>
      <c r="I22" s="420">
        <f>IF(入力!$I$14-3&lt;27,0,様式4!E18+様式4!E19)</f>
        <v>0</v>
      </c>
      <c r="J22" s="421">
        <f>IF(入力!$I$14-2&lt;27,0,様式4!F18+様式4!F19)</f>
        <v>0</v>
      </c>
      <c r="K22" s="422">
        <f>IF(入力!$I$14-1&lt;27,0,様式4!G18+様式4!G19)</f>
        <v>0</v>
      </c>
      <c r="L22" s="420">
        <f>IF(入力!$I$14&lt;27,0,様式4!H18+様式4!H19)</f>
        <v>0</v>
      </c>
      <c r="M22" s="421">
        <f>IF(入力!$I$14+1&lt;27,0,様式4!I18+様式4!I19)</f>
        <v>0</v>
      </c>
      <c r="N22" s="421">
        <f>IF(入力!$I$14+2&lt;27,0,様式4!J18+様式4!J19)</f>
        <v>0</v>
      </c>
      <c r="O22" s="421">
        <f>IF(入力!$I$14+3&lt;27,0,様式4!K18+様式4!K19)</f>
        <v>0</v>
      </c>
      <c r="P22" s="423">
        <f>IF(入力!$I$14+4&lt;27,0,様式4!L18+様式4!L19)</f>
        <v>0</v>
      </c>
      <c r="Q22" s="611">
        <f>様式4!M18+様式4!M19</f>
        <v>0</v>
      </c>
    </row>
    <row r="23" spans="1:17" ht="20.25" customHeight="1" x14ac:dyDescent="0.2">
      <c r="A23" s="898"/>
      <c r="B23" s="892"/>
      <c r="C23" s="222"/>
      <c r="D23" s="901" t="s">
        <v>267</v>
      </c>
      <c r="E23" s="901"/>
      <c r="F23" s="901"/>
      <c r="G23" s="901"/>
      <c r="H23" s="901"/>
      <c r="I23" s="420">
        <f>IF(入力!$I$14-3&lt;27,0,様式4!E33)</f>
        <v>0</v>
      </c>
      <c r="J23" s="421">
        <f>IF(入力!$I$14-2&lt;27,0,様式4!F33)</f>
        <v>0</v>
      </c>
      <c r="K23" s="422">
        <f>IF(入力!$I$14-1&lt;27,0,様式4!G33)</f>
        <v>0</v>
      </c>
      <c r="L23" s="420">
        <f>IF(入力!$I$14&lt;27,0,様式4!H33)</f>
        <v>0</v>
      </c>
      <c r="M23" s="421">
        <f>IF(入力!$I$14+1&lt;27,0,様式4!I33)</f>
        <v>0</v>
      </c>
      <c r="N23" s="421">
        <f>IF(入力!$I$14+2&lt;27,0,様式4!J33)</f>
        <v>0</v>
      </c>
      <c r="O23" s="421">
        <f>IF(入力!$I$14+3&lt;27,0,様式4!K33)</f>
        <v>0</v>
      </c>
      <c r="P23" s="423">
        <f>IF(入力!$I$14+4&lt;27,0,様式4!L33)</f>
        <v>0</v>
      </c>
      <c r="Q23" s="611">
        <f>様式4!M33</f>
        <v>0</v>
      </c>
    </row>
    <row r="24" spans="1:17" ht="20.25" customHeight="1" x14ac:dyDescent="0.2">
      <c r="A24" s="898"/>
      <c r="B24" s="892"/>
      <c r="C24" s="280"/>
      <c r="D24" s="901" t="s">
        <v>269</v>
      </c>
      <c r="E24" s="902"/>
      <c r="F24" s="902"/>
      <c r="G24" s="902"/>
      <c r="H24" s="903"/>
      <c r="I24" s="420">
        <f>IF(入力!$I$14-3&lt;27,0,I67)</f>
        <v>0</v>
      </c>
      <c r="J24" s="421">
        <f>IF(入力!$I$14-2&lt;27,0,J67)</f>
        <v>0</v>
      </c>
      <c r="K24" s="422">
        <f>IF(入力!$I$14-1&lt;27,0,K67)</f>
        <v>0</v>
      </c>
      <c r="L24" s="420">
        <f>IF(入力!$I$14&lt;27,0,L67)</f>
        <v>0</v>
      </c>
      <c r="M24" s="421">
        <f>IF(入力!$I$14+1&lt;27,0,M67)</f>
        <v>0</v>
      </c>
      <c r="N24" s="421">
        <f>IF(入力!$I$14+2&lt;27,0,N67)</f>
        <v>0</v>
      </c>
      <c r="O24" s="421">
        <f>IF(入力!$I$14+3&lt;27,0,O67)</f>
        <v>0</v>
      </c>
      <c r="P24" s="423">
        <f>IF(入力!$I$14+4&lt;27,0,P67)</f>
        <v>0</v>
      </c>
      <c r="Q24" s="611">
        <f>Q67</f>
        <v>0</v>
      </c>
    </row>
    <row r="25" spans="1:17" ht="20.25" customHeight="1" x14ac:dyDescent="0.2">
      <c r="A25" s="898"/>
      <c r="B25" s="892"/>
      <c r="C25" s="762"/>
      <c r="D25" s="906" t="s">
        <v>293</v>
      </c>
      <c r="E25" s="906"/>
      <c r="F25" s="906"/>
      <c r="G25" s="906"/>
      <c r="H25" s="906"/>
      <c r="I25" s="604"/>
      <c r="J25" s="602"/>
      <c r="K25" s="763"/>
      <c r="L25" s="604"/>
      <c r="M25" s="602"/>
      <c r="N25" s="602"/>
      <c r="O25" s="602"/>
      <c r="P25" s="605"/>
      <c r="Q25" s="605"/>
    </row>
    <row r="26" spans="1:17" ht="20.25" customHeight="1" x14ac:dyDescent="0.2">
      <c r="A26" s="898"/>
      <c r="B26" s="893"/>
      <c r="C26" s="229"/>
      <c r="D26" s="907" t="s">
        <v>294</v>
      </c>
      <c r="E26" s="907"/>
      <c r="F26" s="907"/>
      <c r="G26" s="907"/>
      <c r="H26" s="908"/>
      <c r="I26" s="375">
        <f>IF(入力!$I$14-3&gt;=27,SUM(I20:I25),0)</f>
        <v>0</v>
      </c>
      <c r="J26" s="406">
        <f>IF(入力!$I$14-2&gt;=27,SUM(J20:J25),0)</f>
        <v>0</v>
      </c>
      <c r="K26" s="433">
        <f>IF(入力!$I$14-1&gt;=27,SUM(K20:K25),0)</f>
        <v>0</v>
      </c>
      <c r="L26" s="375">
        <f>IF(入力!$I$14&gt;=27,SUM(L20:L25),0)</f>
        <v>0</v>
      </c>
      <c r="M26" s="406">
        <f>IF(入力!$I$14+1&gt;=27,SUM(M20:M25),0)</f>
        <v>0</v>
      </c>
      <c r="N26" s="406">
        <f>IF(入力!$I$14+2&gt;=27,SUM(N20:N25),0)</f>
        <v>0</v>
      </c>
      <c r="O26" s="406">
        <f>IF(入力!$I$14+3&gt;=27,SUM(O20:O25),0)</f>
        <v>0</v>
      </c>
      <c r="P26" s="407">
        <f>IF(入力!$I$14+4&gt;=27,SUM(P20:P25),0)</f>
        <v>0</v>
      </c>
      <c r="Q26" s="615">
        <f>SUM(Q20:Q25)</f>
        <v>0</v>
      </c>
    </row>
    <row r="27" spans="1:17" ht="20.25" customHeight="1" x14ac:dyDescent="0.2">
      <c r="A27" s="898"/>
      <c r="B27" s="924" t="s">
        <v>285</v>
      </c>
      <c r="C27" s="223"/>
      <c r="D27" s="909" t="s">
        <v>61</v>
      </c>
      <c r="E27" s="909"/>
      <c r="F27" s="909"/>
      <c r="G27" s="909"/>
      <c r="H27" s="909"/>
      <c r="I27" s="383">
        <f>IF(入力!$I$14-3&lt;27,0,様式4!E56)</f>
        <v>0</v>
      </c>
      <c r="J27" s="384">
        <f>IF(入力!$I$14-2&lt;27,0,様式4!F56)</f>
        <v>0</v>
      </c>
      <c r="K27" s="385">
        <f>IF(入力!$I$14-1&lt;27,0,様式4!G56)</f>
        <v>0</v>
      </c>
      <c r="L27" s="383">
        <f>IF(入力!$I$14&lt;27,0,様式4!H56)</f>
        <v>0</v>
      </c>
      <c r="M27" s="384">
        <f>IF(入力!$I$14+1&lt;27,0,様式4!I56)</f>
        <v>0</v>
      </c>
      <c r="N27" s="384">
        <f>IF(入力!$I$14+2&lt;27,0,様式4!J56)</f>
        <v>0</v>
      </c>
      <c r="O27" s="384">
        <f>IF(入力!$I$14+3&lt;27,0,様式4!K56)</f>
        <v>0</v>
      </c>
      <c r="P27" s="386">
        <f>IF(入力!$I$14+4&lt;27,0,様式4!L56)</f>
        <v>0</v>
      </c>
      <c r="Q27" s="613">
        <f>様式4!M56</f>
        <v>0</v>
      </c>
    </row>
    <row r="28" spans="1:17" ht="20.25" customHeight="1" x14ac:dyDescent="0.2">
      <c r="A28" s="898"/>
      <c r="B28" s="925"/>
      <c r="C28" s="222"/>
      <c r="D28" s="901" t="s">
        <v>62</v>
      </c>
      <c r="E28" s="901"/>
      <c r="F28" s="901"/>
      <c r="G28" s="901"/>
      <c r="H28" s="901"/>
      <c r="I28" s="388">
        <f>IF(入力!$I$14-3&lt;27,0,様式4!E57)</f>
        <v>0</v>
      </c>
      <c r="J28" s="389">
        <f>IF(入力!$I$14-2&lt;27,0,様式4!F57)</f>
        <v>0</v>
      </c>
      <c r="K28" s="390">
        <f>IF(入力!$I$14-1&lt;27,0,様式4!G57)</f>
        <v>0</v>
      </c>
      <c r="L28" s="388">
        <f>IF(入力!$I$14&lt;27,0,様式4!H57)</f>
        <v>0</v>
      </c>
      <c r="M28" s="389">
        <f>IF(入力!$I$14+1&lt;27,0,様式4!I57)</f>
        <v>0</v>
      </c>
      <c r="N28" s="389">
        <f>IF(入力!$I$14+2&lt;27,0,様式4!J57)</f>
        <v>0</v>
      </c>
      <c r="O28" s="389">
        <f>IF(入力!$I$14+3&lt;27,0,様式4!K57)</f>
        <v>0</v>
      </c>
      <c r="P28" s="391">
        <f>IF(入力!$I$14+4&lt;27,0,様式4!L57)</f>
        <v>0</v>
      </c>
      <c r="Q28" s="611">
        <f>様式4!M57</f>
        <v>0</v>
      </c>
    </row>
    <row r="29" spans="1:17" ht="20.25" customHeight="1" x14ac:dyDescent="0.2">
      <c r="A29" s="898"/>
      <c r="B29" s="925"/>
      <c r="C29" s="222"/>
      <c r="D29" s="901" t="s">
        <v>270</v>
      </c>
      <c r="E29" s="901"/>
      <c r="F29" s="901"/>
      <c r="G29" s="901"/>
      <c r="H29" s="901"/>
      <c r="I29" s="388">
        <f>IF(入力!$I$14-3&lt;27,0,様式4!E60)</f>
        <v>0</v>
      </c>
      <c r="J29" s="389">
        <f>IF(入力!$I$14-2&lt;27,0,様式4!F60)</f>
        <v>0</v>
      </c>
      <c r="K29" s="390">
        <f>IF(入力!$I$14-1&lt;27,0,様式4!G60)</f>
        <v>0</v>
      </c>
      <c r="L29" s="388">
        <f>IF(入力!$I$14&lt;27,0,様式4!H60)</f>
        <v>0</v>
      </c>
      <c r="M29" s="389">
        <f>IF(入力!$I$14+1&lt;27,0,様式4!I60)</f>
        <v>0</v>
      </c>
      <c r="N29" s="389">
        <f>IF(入力!$I$14+2&lt;27,0,様式4!J60)</f>
        <v>0</v>
      </c>
      <c r="O29" s="389">
        <f>IF(入力!$I$14+3&lt;27,0,様式4!K60)</f>
        <v>0</v>
      </c>
      <c r="P29" s="391">
        <f>IF(入力!$I$14+4&lt;27,0,様式4!L60)</f>
        <v>0</v>
      </c>
      <c r="Q29" s="611">
        <f>様式4!M60</f>
        <v>0</v>
      </c>
    </row>
    <row r="30" spans="1:17" ht="20.25" customHeight="1" x14ac:dyDescent="0.2">
      <c r="A30" s="898"/>
      <c r="B30" s="925"/>
      <c r="C30" s="222"/>
      <c r="D30" s="901" t="s">
        <v>295</v>
      </c>
      <c r="E30" s="901"/>
      <c r="F30" s="901"/>
      <c r="G30" s="901"/>
      <c r="H30" s="901"/>
      <c r="I30" s="388">
        <f>IF(入力!$I$14-3&lt;27,0,I70)</f>
        <v>0</v>
      </c>
      <c r="J30" s="389">
        <f>IF(入力!$I$14-2&lt;27,0,J70)</f>
        <v>0</v>
      </c>
      <c r="K30" s="390">
        <f>IF(入力!$I$14-1&lt;27,0,K70)</f>
        <v>0</v>
      </c>
      <c r="L30" s="388">
        <f>IF(入力!$I$14&lt;27,0,L70)</f>
        <v>0</v>
      </c>
      <c r="M30" s="389">
        <f>IF(入力!$I$14+1&lt;27,0,M70)</f>
        <v>0</v>
      </c>
      <c r="N30" s="389">
        <f>IF(入力!$I$14+2&lt;27,0,N70)</f>
        <v>0</v>
      </c>
      <c r="O30" s="389">
        <f>IF(入力!$I$14+3&lt;27,0,O70)</f>
        <v>0</v>
      </c>
      <c r="P30" s="391">
        <f>IF(入力!$I$14+4&lt;27,0,P70)</f>
        <v>0</v>
      </c>
      <c r="Q30" s="611">
        <f>Q70</f>
        <v>0</v>
      </c>
    </row>
    <row r="31" spans="1:17" ht="20.25" customHeight="1" x14ac:dyDescent="0.2">
      <c r="A31" s="898"/>
      <c r="B31" s="925"/>
      <c r="C31" s="755"/>
      <c r="D31" s="906" t="s">
        <v>296</v>
      </c>
      <c r="E31" s="906"/>
      <c r="F31" s="906"/>
      <c r="G31" s="906"/>
      <c r="H31" s="906"/>
      <c r="I31" s="759"/>
      <c r="J31" s="757"/>
      <c r="K31" s="764"/>
      <c r="L31" s="759"/>
      <c r="M31" s="757"/>
      <c r="N31" s="757"/>
      <c r="O31" s="757"/>
      <c r="P31" s="760"/>
      <c r="Q31" s="760"/>
    </row>
    <row r="32" spans="1:17" s="2" customFormat="1" ht="20.25" customHeight="1" x14ac:dyDescent="0.2">
      <c r="A32" s="898"/>
      <c r="B32" s="926"/>
      <c r="C32" s="765"/>
      <c r="D32" s="907" t="s">
        <v>297</v>
      </c>
      <c r="E32" s="907"/>
      <c r="F32" s="907"/>
      <c r="G32" s="907"/>
      <c r="H32" s="908"/>
      <c r="I32" s="375">
        <f>IF(入力!$I$14-3&gt;=27,SUM(I27:I31),0)</f>
        <v>0</v>
      </c>
      <c r="J32" s="406">
        <f>IF(入力!$I$14-2&gt;=27,SUM(J27:J31),0)</f>
        <v>0</v>
      </c>
      <c r="K32" s="433">
        <f>IF(入力!$I$14-1&gt;=27,SUM(K27:K31),0)</f>
        <v>0</v>
      </c>
      <c r="L32" s="375">
        <f>IF(入力!$I$14&gt;=27,SUM(L27:L31),0)</f>
        <v>0</v>
      </c>
      <c r="M32" s="406">
        <f>IF(入力!$I$14+1&gt;=27,SUM(M27:M31),0)</f>
        <v>0</v>
      </c>
      <c r="N32" s="406">
        <f>IF(入力!$I$14+2&gt;=27,SUM(N27:N31),0)</f>
        <v>0</v>
      </c>
      <c r="O32" s="406">
        <f>IF(入力!$I$14+3&gt;=27,SUM(O27:O31),0)</f>
        <v>0</v>
      </c>
      <c r="P32" s="407">
        <f>IF(入力!$I$14+4&gt;=27,SUM(P27:P31),0)</f>
        <v>0</v>
      </c>
      <c r="Q32" s="615">
        <f>SUM(Q27:Q31)</f>
        <v>0</v>
      </c>
    </row>
    <row r="33" spans="1:17" ht="20.25" customHeight="1" x14ac:dyDescent="0.2">
      <c r="A33" s="898"/>
      <c r="B33" s="226"/>
      <c r="C33" s="225"/>
      <c r="D33" s="911" t="s">
        <v>286</v>
      </c>
      <c r="E33" s="912"/>
      <c r="F33" s="912"/>
      <c r="G33" s="912"/>
      <c r="H33" s="913"/>
      <c r="I33" s="375">
        <f>I26-I32</f>
        <v>0</v>
      </c>
      <c r="J33" s="406">
        <f t="shared" ref="J33:Q33" si="2">J26-J32</f>
        <v>0</v>
      </c>
      <c r="K33" s="433">
        <f t="shared" si="2"/>
        <v>0</v>
      </c>
      <c r="L33" s="375">
        <f t="shared" si="2"/>
        <v>0</v>
      </c>
      <c r="M33" s="406">
        <f t="shared" si="2"/>
        <v>0</v>
      </c>
      <c r="N33" s="406">
        <f t="shared" si="2"/>
        <v>0</v>
      </c>
      <c r="O33" s="406">
        <f t="shared" si="2"/>
        <v>0</v>
      </c>
      <c r="P33" s="407">
        <f t="shared" si="2"/>
        <v>0</v>
      </c>
      <c r="Q33" s="615">
        <f t="shared" si="2"/>
        <v>0</v>
      </c>
    </row>
    <row r="34" spans="1:17" ht="20.25" customHeight="1" x14ac:dyDescent="0.2">
      <c r="A34" s="898"/>
      <c r="B34" s="226"/>
      <c r="C34" s="318"/>
      <c r="D34" s="914" t="s">
        <v>287</v>
      </c>
      <c r="E34" s="914"/>
      <c r="F34" s="914"/>
      <c r="G34" s="914"/>
      <c r="H34" s="927"/>
      <c r="I34" s="606"/>
      <c r="J34" s="607"/>
      <c r="K34" s="608"/>
      <c r="L34" s="606"/>
      <c r="M34" s="607"/>
      <c r="N34" s="607"/>
      <c r="O34" s="607"/>
      <c r="P34" s="609"/>
      <c r="Q34" s="609"/>
    </row>
    <row r="35" spans="1:17" ht="20.25" customHeight="1" x14ac:dyDescent="0.2">
      <c r="A35" s="921"/>
      <c r="B35" s="928" t="s">
        <v>298</v>
      </c>
      <c r="C35" s="929"/>
      <c r="D35" s="929"/>
      <c r="E35" s="929"/>
      <c r="F35" s="929"/>
      <c r="G35" s="929"/>
      <c r="H35" s="930"/>
      <c r="I35" s="395">
        <f>I33+I34</f>
        <v>0</v>
      </c>
      <c r="J35" s="393">
        <f t="shared" ref="J35:Q35" si="3">J33+J34</f>
        <v>0</v>
      </c>
      <c r="K35" s="432">
        <f t="shared" si="3"/>
        <v>0</v>
      </c>
      <c r="L35" s="395">
        <f t="shared" si="3"/>
        <v>0</v>
      </c>
      <c r="M35" s="393">
        <f t="shared" si="3"/>
        <v>0</v>
      </c>
      <c r="N35" s="393">
        <f t="shared" si="3"/>
        <v>0</v>
      </c>
      <c r="O35" s="393">
        <f t="shared" si="3"/>
        <v>0</v>
      </c>
      <c r="P35" s="396">
        <f t="shared" si="3"/>
        <v>0</v>
      </c>
      <c r="Q35" s="610">
        <f t="shared" si="3"/>
        <v>0</v>
      </c>
    </row>
    <row r="36" spans="1:17" s="228" customFormat="1" ht="20.25" customHeight="1" thickBot="1" x14ac:dyDescent="0.25">
      <c r="A36" s="227"/>
      <c r="B36" s="931" t="s">
        <v>299</v>
      </c>
      <c r="C36" s="931"/>
      <c r="D36" s="931"/>
      <c r="E36" s="931"/>
      <c r="F36" s="931"/>
      <c r="G36" s="931"/>
      <c r="H36" s="932"/>
      <c r="I36" s="379">
        <f>I19+I35</f>
        <v>0</v>
      </c>
      <c r="J36" s="413">
        <f t="shared" ref="J36:Q36" si="4">J19+J35</f>
        <v>0</v>
      </c>
      <c r="K36" s="434">
        <f t="shared" si="4"/>
        <v>0</v>
      </c>
      <c r="L36" s="379">
        <f t="shared" si="4"/>
        <v>0</v>
      </c>
      <c r="M36" s="413">
        <f t="shared" si="4"/>
        <v>0</v>
      </c>
      <c r="N36" s="413">
        <f t="shared" si="4"/>
        <v>0</v>
      </c>
      <c r="O36" s="413">
        <f t="shared" si="4"/>
        <v>0</v>
      </c>
      <c r="P36" s="414">
        <f t="shared" si="4"/>
        <v>0</v>
      </c>
      <c r="Q36" s="618">
        <f t="shared" si="4"/>
        <v>0</v>
      </c>
    </row>
    <row r="37" spans="1:17" ht="20.25" customHeight="1" x14ac:dyDescent="0.2">
      <c r="A37" s="942" t="s">
        <v>300</v>
      </c>
      <c r="B37" s="922" t="s">
        <v>278</v>
      </c>
      <c r="C37" s="223"/>
      <c r="D37" s="933" t="s">
        <v>301</v>
      </c>
      <c r="E37" s="909"/>
      <c r="F37" s="909"/>
      <c r="G37" s="909"/>
      <c r="H37" s="909"/>
      <c r="I37" s="435">
        <f>IF(入力!$I$14-3&lt;27,0,様式4!E27)</f>
        <v>0</v>
      </c>
      <c r="J37" s="436">
        <f>IF(入力!$I$14-2&lt;27,0,様式4!F27)</f>
        <v>0</v>
      </c>
      <c r="K37" s="437">
        <f>IF(入力!$I$14-1&lt;27,0,様式4!G27)</f>
        <v>0</v>
      </c>
      <c r="L37" s="435">
        <f>IF(入力!$I$14&lt;27,0,様式4!H27)</f>
        <v>0</v>
      </c>
      <c r="M37" s="436">
        <f>IF(入力!$I$14+1&lt;27,0,様式4!I27)</f>
        <v>0</v>
      </c>
      <c r="N37" s="436">
        <f>IF(入力!$I$14+2&lt;27,0,様式4!J27)</f>
        <v>0</v>
      </c>
      <c r="O37" s="436">
        <f>IF(入力!$I$14+3&lt;27,0,様式4!K27)</f>
        <v>0</v>
      </c>
      <c r="P37" s="438">
        <f>IF(入力!$I$14+4&lt;27,0,様式4!L27)</f>
        <v>0</v>
      </c>
      <c r="Q37" s="614">
        <f>様式4!M27</f>
        <v>0</v>
      </c>
    </row>
    <row r="38" spans="1:17" ht="20.25" customHeight="1" x14ac:dyDescent="0.2">
      <c r="A38" s="898"/>
      <c r="B38" s="892"/>
      <c r="C38" s="222"/>
      <c r="D38" s="934" t="s">
        <v>302</v>
      </c>
      <c r="E38" s="901"/>
      <c r="F38" s="901"/>
      <c r="G38" s="901"/>
      <c r="H38" s="901"/>
      <c r="I38" s="388">
        <f>IF(入力!$I$14-3&lt;27,0,様式4!E20)</f>
        <v>0</v>
      </c>
      <c r="J38" s="389">
        <f>IF(入力!$I$14-2&lt;27,0,様式4!F20)</f>
        <v>0</v>
      </c>
      <c r="K38" s="390">
        <f>IF(入力!$I$14-1&lt;27,0,様式4!G20)</f>
        <v>0</v>
      </c>
      <c r="L38" s="388">
        <f>IF(入力!$I$14&lt;27,0,様式4!H20)</f>
        <v>0</v>
      </c>
      <c r="M38" s="389">
        <f>IF(入力!$I$14+1&lt;27,0,様式4!I20)</f>
        <v>0</v>
      </c>
      <c r="N38" s="389">
        <f>IF(入力!$I$14+2&lt;27,0,様式4!J20)</f>
        <v>0</v>
      </c>
      <c r="O38" s="389">
        <f>IF(入力!$I$14+3&lt;27,0,様式4!K20)</f>
        <v>0</v>
      </c>
      <c r="P38" s="391">
        <f>IF(入力!$I$14+4&lt;27,0,様式4!L20)</f>
        <v>0</v>
      </c>
      <c r="Q38" s="614">
        <f>様式4!M20</f>
        <v>0</v>
      </c>
    </row>
    <row r="39" spans="1:17" ht="20.25" customHeight="1" x14ac:dyDescent="0.2">
      <c r="A39" s="898"/>
      <c r="B39" s="892"/>
      <c r="C39" s="222"/>
      <c r="D39" s="901" t="s">
        <v>268</v>
      </c>
      <c r="E39" s="901"/>
      <c r="F39" s="901"/>
      <c r="G39" s="901"/>
      <c r="H39" s="901"/>
      <c r="I39" s="388">
        <f>IF(入力!$I$14-3&lt;27,0,様式4!E34)</f>
        <v>0</v>
      </c>
      <c r="J39" s="389">
        <f>IF(入力!$I$14-2&lt;27,0,様式4!F34)</f>
        <v>0</v>
      </c>
      <c r="K39" s="390">
        <f>IF(入力!$I$14-1&lt;27,0,様式4!G34)</f>
        <v>0</v>
      </c>
      <c r="L39" s="388">
        <f>IF(入力!$I$14&lt;27,0,様式4!H34)</f>
        <v>0</v>
      </c>
      <c r="M39" s="389">
        <f>IF(入力!$I$14+1&lt;27,0,様式4!I34)</f>
        <v>0</v>
      </c>
      <c r="N39" s="389">
        <f>IF(入力!$I$14+2&lt;27,0,様式4!J34)</f>
        <v>0</v>
      </c>
      <c r="O39" s="389">
        <f>IF(入力!$I$14+3&lt;27,0,様式4!K34)</f>
        <v>0</v>
      </c>
      <c r="P39" s="391">
        <f>IF(入力!$I$14+4&lt;27,0,様式4!L34)</f>
        <v>0</v>
      </c>
      <c r="Q39" s="611">
        <f>様式4!M34</f>
        <v>0</v>
      </c>
    </row>
    <row r="40" spans="1:17" ht="20.25" customHeight="1" x14ac:dyDescent="0.2">
      <c r="A40" s="898"/>
      <c r="B40" s="892"/>
      <c r="C40" s="222"/>
      <c r="D40" s="935" t="s">
        <v>303</v>
      </c>
      <c r="E40" s="935"/>
      <c r="F40" s="935"/>
      <c r="G40" s="901"/>
      <c r="H40" s="901"/>
      <c r="I40" s="388">
        <f>IF(入力!$I$14-3&lt;27,0,様式4!E35-様式6!I67)</f>
        <v>0</v>
      </c>
      <c r="J40" s="389">
        <f>IF(入力!$I$14-2&lt;27,0,様式4!F35-様式6!J67)</f>
        <v>0</v>
      </c>
      <c r="K40" s="390">
        <f>IF(入力!$I$14-1&lt;27,0,様式4!G35-様式6!K67)</f>
        <v>0</v>
      </c>
      <c r="L40" s="388">
        <f>IF(入力!$I$14&lt;27,0,様式4!H35-様式6!L67)</f>
        <v>0</v>
      </c>
      <c r="M40" s="389">
        <f>IF(入力!$I$14+1&lt;27,0,様式4!I35-様式6!M67)</f>
        <v>0</v>
      </c>
      <c r="N40" s="389">
        <f>IF(入力!$I$14+2&lt;27,0,様式4!J35-様式6!N67)</f>
        <v>0</v>
      </c>
      <c r="O40" s="389">
        <f>IF(入力!$I$14+3&lt;27,0,様式4!K35-様式6!O67)</f>
        <v>0</v>
      </c>
      <c r="P40" s="391">
        <f>IF(入力!$I$14+4&lt;27,0,様式4!L35-様式6!P67)</f>
        <v>0</v>
      </c>
      <c r="Q40" s="611">
        <f>様式4!M35-Q67</f>
        <v>0</v>
      </c>
    </row>
    <row r="41" spans="1:17" ht="20.25" customHeight="1" x14ac:dyDescent="0.2">
      <c r="A41" s="898"/>
      <c r="B41" s="892"/>
      <c r="C41" s="222"/>
      <c r="D41" s="901" t="s">
        <v>304</v>
      </c>
      <c r="E41" s="902"/>
      <c r="F41" s="902"/>
      <c r="G41" s="902"/>
      <c r="H41" s="903"/>
      <c r="I41" s="388">
        <f>IF(入力!$I$14-3&lt;27,0,様式4!E21+様式4!E37)</f>
        <v>0</v>
      </c>
      <c r="J41" s="389">
        <f>IF(入力!$I$14-2&lt;27,0,様式4!F21+様式4!F37)</f>
        <v>0</v>
      </c>
      <c r="K41" s="390">
        <f>IF(入力!$I$14-1&lt;27,0,様式4!G21+様式4!G37)</f>
        <v>0</v>
      </c>
      <c r="L41" s="388">
        <f>IF(入力!$I$14&lt;27,0,様式4!H21+様式4!H37)</f>
        <v>0</v>
      </c>
      <c r="M41" s="389">
        <f>IF(入力!$I$14+1&lt;27,0,様式4!I21+様式4!I37)</f>
        <v>0</v>
      </c>
      <c r="N41" s="389">
        <f>IF(入力!$I$14+2&lt;27,0,様式4!J21+様式4!J37)</f>
        <v>0</v>
      </c>
      <c r="O41" s="389">
        <f>IF(入力!$I$14+3&lt;27,0,様式4!K21+様式4!K37)</f>
        <v>0</v>
      </c>
      <c r="P41" s="391">
        <f>IF(入力!$I$14+4&lt;27,0,様式4!L21+様式4!L37)</f>
        <v>0</v>
      </c>
      <c r="Q41" s="611">
        <f>様式4!M21+様式4!M37</f>
        <v>0</v>
      </c>
    </row>
    <row r="42" spans="1:17" ht="20.25" customHeight="1" x14ac:dyDescent="0.2">
      <c r="A42" s="898"/>
      <c r="B42" s="892"/>
      <c r="C42" s="222"/>
      <c r="D42" s="901" t="s">
        <v>305</v>
      </c>
      <c r="E42" s="901"/>
      <c r="F42" s="901"/>
      <c r="G42" s="901"/>
      <c r="H42" s="936"/>
      <c r="I42" s="388">
        <f t="shared" ref="I42:P42" si="5">I37+I38+I39+I40+I41</f>
        <v>0</v>
      </c>
      <c r="J42" s="389">
        <f t="shared" si="5"/>
        <v>0</v>
      </c>
      <c r="K42" s="390">
        <f t="shared" si="5"/>
        <v>0</v>
      </c>
      <c r="L42" s="388">
        <f t="shared" si="5"/>
        <v>0</v>
      </c>
      <c r="M42" s="389">
        <f t="shared" si="5"/>
        <v>0</v>
      </c>
      <c r="N42" s="389">
        <f t="shared" si="5"/>
        <v>0</v>
      </c>
      <c r="O42" s="389">
        <f t="shared" si="5"/>
        <v>0</v>
      </c>
      <c r="P42" s="391">
        <f t="shared" si="5"/>
        <v>0</v>
      </c>
      <c r="Q42" s="611">
        <f>SUM(Q37:Q41)</f>
        <v>0</v>
      </c>
    </row>
    <row r="43" spans="1:17" ht="20.25" customHeight="1" x14ac:dyDescent="0.2">
      <c r="A43" s="898"/>
      <c r="B43" s="892"/>
      <c r="C43" s="222"/>
      <c r="D43" s="901" t="s">
        <v>274</v>
      </c>
      <c r="E43" s="902"/>
      <c r="F43" s="902"/>
      <c r="G43" s="902"/>
      <c r="H43" s="903"/>
      <c r="I43" s="388">
        <f>IF(入力!$I$14-3&lt;27,0,様式4!E23)</f>
        <v>0</v>
      </c>
      <c r="J43" s="389">
        <f>IF(入力!$I$14-2&lt;27,0,様式4!F23)</f>
        <v>0</v>
      </c>
      <c r="K43" s="390">
        <f>IF(入力!$I$14-1&lt;27,0,様式4!G23)</f>
        <v>0</v>
      </c>
      <c r="L43" s="388">
        <f>IF(入力!$I$14&lt;27,0,様式4!H23)</f>
        <v>0</v>
      </c>
      <c r="M43" s="389">
        <f>IF(入力!$I$14+1&lt;27,0,様式4!I23)</f>
        <v>0</v>
      </c>
      <c r="N43" s="389">
        <f>IF(入力!$I$14+2&lt;27,0,様式4!J23)</f>
        <v>0</v>
      </c>
      <c r="O43" s="389">
        <f>IF(入力!$I$14+3&lt;27,0,様式4!K23)</f>
        <v>0</v>
      </c>
      <c r="P43" s="391">
        <f>IF(入力!$I$14+4&lt;27,0,様式4!L23)</f>
        <v>0</v>
      </c>
      <c r="Q43" s="611">
        <f>様式4!M23</f>
        <v>0</v>
      </c>
    </row>
    <row r="44" spans="1:17" ht="20.25" customHeight="1" x14ac:dyDescent="0.2">
      <c r="A44" s="898"/>
      <c r="B44" s="892"/>
      <c r="C44" s="222"/>
      <c r="D44" s="901" t="s">
        <v>306</v>
      </c>
      <c r="E44" s="902"/>
      <c r="F44" s="902"/>
      <c r="G44" s="902"/>
      <c r="H44" s="903"/>
      <c r="I44" s="388">
        <f>IF(入力!$I$14-3&lt;27,0,I65)</f>
        <v>0</v>
      </c>
      <c r="J44" s="389">
        <f>IF(入力!$I$14-2&lt;27,0,J65)</f>
        <v>0</v>
      </c>
      <c r="K44" s="390">
        <f>IF(入力!$I$14-1&lt;27,0,K65)</f>
        <v>0</v>
      </c>
      <c r="L44" s="388">
        <f>IF(入力!$I$14&lt;27,0,L65)</f>
        <v>0</v>
      </c>
      <c r="M44" s="389">
        <f>IF(入力!$I$14+1&lt;27,0,M65)</f>
        <v>0</v>
      </c>
      <c r="N44" s="389">
        <f>IF(入力!$I$14+2&lt;27,0,N65)</f>
        <v>0</v>
      </c>
      <c r="O44" s="389">
        <f>IF(入力!$I$14+3&lt;27,0,O65)</f>
        <v>0</v>
      </c>
      <c r="P44" s="391">
        <f>IF(入力!$I$14+4&lt;27,0,P65)</f>
        <v>0</v>
      </c>
      <c r="Q44" s="611">
        <f>Q65</f>
        <v>0</v>
      </c>
    </row>
    <row r="45" spans="1:17" ht="20.25" customHeight="1" x14ac:dyDescent="0.2">
      <c r="A45" s="898"/>
      <c r="B45" s="892"/>
      <c r="C45" s="755"/>
      <c r="D45" s="906" t="s">
        <v>307</v>
      </c>
      <c r="E45" s="937"/>
      <c r="F45" s="937"/>
      <c r="G45" s="937"/>
      <c r="H45" s="938"/>
      <c r="I45" s="759"/>
      <c r="J45" s="757"/>
      <c r="K45" s="764"/>
      <c r="L45" s="759"/>
      <c r="M45" s="757"/>
      <c r="N45" s="757"/>
      <c r="O45" s="757"/>
      <c r="P45" s="760"/>
      <c r="Q45" s="760"/>
    </row>
    <row r="46" spans="1:17" ht="20.25" customHeight="1" x14ac:dyDescent="0.2">
      <c r="A46" s="898"/>
      <c r="B46" s="893"/>
      <c r="C46" s="229"/>
      <c r="D46" s="907" t="s">
        <v>308</v>
      </c>
      <c r="E46" s="907"/>
      <c r="F46" s="907"/>
      <c r="G46" s="907"/>
      <c r="H46" s="908"/>
      <c r="I46" s="375">
        <f>IF(入力!$I$14-3&gt;=27,SUM(I42:I45),0)</f>
        <v>0</v>
      </c>
      <c r="J46" s="406">
        <f>IF(入力!$I$14-2&gt;=27,SUM(J42:J45),0)</f>
        <v>0</v>
      </c>
      <c r="K46" s="433">
        <f>IF(入力!$I$14-1&gt;=27,SUM(K42:K45),0)</f>
        <v>0</v>
      </c>
      <c r="L46" s="375">
        <f>IF(入力!$I$14&gt;=27,SUM(L42:L45),0)</f>
        <v>0</v>
      </c>
      <c r="M46" s="406">
        <f>IF(入力!$I$14+1&gt;=27,SUM(M42:M45),0)</f>
        <v>0</v>
      </c>
      <c r="N46" s="406">
        <f>IF(入力!$I$14+2&gt;=27,SUM(N42:N45),0)</f>
        <v>0</v>
      </c>
      <c r="O46" s="406">
        <f>IF(入力!$I$14+3&gt;=27,SUM(O42:O45),0)</f>
        <v>0</v>
      </c>
      <c r="P46" s="407">
        <f>IF(入力!$I$14+4&gt;=27,SUM(P42:P45),0)</f>
        <v>0</v>
      </c>
      <c r="Q46" s="615">
        <f>Q42+Q43+Q44+Q45</f>
        <v>0</v>
      </c>
    </row>
    <row r="47" spans="1:17" ht="20.25" customHeight="1" x14ac:dyDescent="0.2">
      <c r="A47" s="898"/>
      <c r="B47" s="899" t="s">
        <v>285</v>
      </c>
      <c r="C47" s="221"/>
      <c r="D47" s="950" t="s">
        <v>309</v>
      </c>
      <c r="E47" s="900"/>
      <c r="F47" s="900"/>
      <c r="G47" s="900"/>
      <c r="H47" s="900"/>
      <c r="I47" s="383">
        <f>IF(入力!$I$14-3&lt;27,0,様式4!E55)</f>
        <v>0</v>
      </c>
      <c r="J47" s="384">
        <f>IF(入力!$I$14-2&lt;27,0,様式4!F55)</f>
        <v>0</v>
      </c>
      <c r="K47" s="385">
        <f>IF(入力!$I$14-1&lt;27,0,様式4!G55)</f>
        <v>0</v>
      </c>
      <c r="L47" s="383">
        <f>IF(入力!$I$14&lt;27,0,様式4!H55)</f>
        <v>0</v>
      </c>
      <c r="M47" s="384">
        <f>IF(入力!$I$14+1&lt;27,0,様式4!I55)</f>
        <v>0</v>
      </c>
      <c r="N47" s="384">
        <f>IF(入力!$I$14+2&lt;27,0,様式4!J55)</f>
        <v>0</v>
      </c>
      <c r="O47" s="384">
        <f>IF(入力!$I$14+3&lt;27,0,様式4!K55)</f>
        <v>0</v>
      </c>
      <c r="P47" s="386">
        <f>IF(入力!$I$14+4&lt;27,0,様式4!L55)</f>
        <v>0</v>
      </c>
      <c r="Q47" s="610">
        <f>様式4!M55</f>
        <v>0</v>
      </c>
    </row>
    <row r="48" spans="1:17" ht="20.25" customHeight="1" x14ac:dyDescent="0.2">
      <c r="A48" s="898"/>
      <c r="B48" s="892"/>
      <c r="C48" s="222"/>
      <c r="D48" s="901" t="s">
        <v>310</v>
      </c>
      <c r="E48" s="901"/>
      <c r="F48" s="901"/>
      <c r="G48" s="901"/>
      <c r="H48" s="901"/>
      <c r="I48" s="388">
        <f>IF(入力!$I$14-3&lt;27,0,様式4!E59)</f>
        <v>0</v>
      </c>
      <c r="J48" s="389">
        <f>IF(入力!$I$14-2&lt;27,0,様式4!F59)</f>
        <v>0</v>
      </c>
      <c r="K48" s="390">
        <f>IF(入力!$I$14-1&lt;27,0,様式4!G59)</f>
        <v>0</v>
      </c>
      <c r="L48" s="388">
        <f>IF(入力!$I$14&lt;27,0,様式4!H59)</f>
        <v>0</v>
      </c>
      <c r="M48" s="389">
        <f>IF(入力!$I$14+1&lt;27,0,様式4!I59)</f>
        <v>0</v>
      </c>
      <c r="N48" s="389">
        <f>IF(入力!$I$14+2&lt;27,0,様式4!J59)</f>
        <v>0</v>
      </c>
      <c r="O48" s="389">
        <f>IF(入力!$I$14+3&lt;27,0,様式4!K59)</f>
        <v>0</v>
      </c>
      <c r="P48" s="391">
        <f>IF(入力!$I$14+4&lt;27,0,様式4!L59)</f>
        <v>0</v>
      </c>
      <c r="Q48" s="611">
        <f>様式4!M59</f>
        <v>0</v>
      </c>
    </row>
    <row r="49" spans="1:18" ht="20.25" customHeight="1" x14ac:dyDescent="0.2">
      <c r="A49" s="898"/>
      <c r="B49" s="892"/>
      <c r="C49" s="222"/>
      <c r="D49" s="901" t="s">
        <v>271</v>
      </c>
      <c r="E49" s="901"/>
      <c r="F49" s="901"/>
      <c r="G49" s="901"/>
      <c r="H49" s="936"/>
      <c r="I49" s="388">
        <f>IF(入力!$I$14-3&lt;27,0,様式4!E61)</f>
        <v>0</v>
      </c>
      <c r="J49" s="389">
        <f>IF(入力!$I$14-2&lt;27,0,様式4!F61)</f>
        <v>0</v>
      </c>
      <c r="K49" s="390">
        <f>IF(入力!$I$14-1&lt;27,0,様式4!G61)</f>
        <v>0</v>
      </c>
      <c r="L49" s="388">
        <f>IF(入力!$I$14&lt;27,0,様式4!H61)</f>
        <v>0</v>
      </c>
      <c r="M49" s="389">
        <f>IF(入力!$I$14+1&lt;27,0,様式4!I61)</f>
        <v>0</v>
      </c>
      <c r="N49" s="389">
        <f>IF(入力!$I$14+2&lt;27,0,様式4!J61)</f>
        <v>0</v>
      </c>
      <c r="O49" s="389">
        <f>IF(入力!$I$14+3&lt;27,0,様式4!K61)</f>
        <v>0</v>
      </c>
      <c r="P49" s="391">
        <f>IF(入力!$I$14+4&lt;27,0,様式4!L61)</f>
        <v>0</v>
      </c>
      <c r="Q49" s="611">
        <f>様式4!M61</f>
        <v>0</v>
      </c>
    </row>
    <row r="50" spans="1:18" ht="20.25" customHeight="1" x14ac:dyDescent="0.2">
      <c r="A50" s="898"/>
      <c r="B50" s="892"/>
      <c r="C50" s="222"/>
      <c r="D50" s="901" t="s">
        <v>295</v>
      </c>
      <c r="E50" s="902"/>
      <c r="F50" s="902"/>
      <c r="G50" s="902"/>
      <c r="H50" s="903"/>
      <c r="I50" s="388">
        <f>IF(入力!$I$14-3&lt;27,0,様式4!E62-様式6!I70)</f>
        <v>0</v>
      </c>
      <c r="J50" s="389">
        <f>IF(入力!$I$14-2&lt;27,0,様式4!F62-様式6!J70)</f>
        <v>0</v>
      </c>
      <c r="K50" s="390">
        <f>IF(入力!$I$14-1&lt;27,0,様式4!G62-様式6!K70)</f>
        <v>0</v>
      </c>
      <c r="L50" s="388">
        <f>IF(入力!$I$14&lt;27,0,様式4!H62-様式6!L70)</f>
        <v>0</v>
      </c>
      <c r="M50" s="389">
        <f>IF(入力!$I$14+1&lt;27,0,様式4!I62-様式6!M70)</f>
        <v>0</v>
      </c>
      <c r="N50" s="389">
        <f>IF(入力!$I$14+2&lt;27,0,様式4!J62-様式6!N70)</f>
        <v>0</v>
      </c>
      <c r="O50" s="389">
        <f>IF(入力!$I$14+3&lt;27,0,様式4!K62-様式6!O70)</f>
        <v>0</v>
      </c>
      <c r="P50" s="391">
        <f>IF(入力!$I$14+4&lt;27,0,様式4!L62-様式6!P70)</f>
        <v>0</v>
      </c>
      <c r="Q50" s="611">
        <f>様式4!M62-Q70</f>
        <v>0</v>
      </c>
    </row>
    <row r="51" spans="1:18" ht="20.25" customHeight="1" x14ac:dyDescent="0.2">
      <c r="A51" s="898"/>
      <c r="B51" s="892"/>
      <c r="C51" s="222"/>
      <c r="D51" s="901" t="s">
        <v>311</v>
      </c>
      <c r="E51" s="902"/>
      <c r="F51" s="902"/>
      <c r="G51" s="902"/>
      <c r="H51" s="903"/>
      <c r="I51" s="388">
        <f>IF(入力!$I$14-3&lt;27,0,様式4!E63+様式4!E68)</f>
        <v>0</v>
      </c>
      <c r="J51" s="389">
        <f>IF(入力!$I$14-2&lt;27,0,様式4!F63+様式4!F68)</f>
        <v>0</v>
      </c>
      <c r="K51" s="390">
        <f>IF(入力!$I$14-1&lt;27,0,様式4!G63+様式4!G68)</f>
        <v>0</v>
      </c>
      <c r="L51" s="388">
        <f>IF(入力!$I$14&lt;27,0,様式4!H63+様式4!H68)</f>
        <v>0</v>
      </c>
      <c r="M51" s="389">
        <f>IF(入力!$I$14+1&lt;27,0,様式4!I63+様式4!I68)</f>
        <v>0</v>
      </c>
      <c r="N51" s="389">
        <f>IF(入力!$I$14+2&lt;27,0,様式4!J63+様式4!J68)</f>
        <v>0</v>
      </c>
      <c r="O51" s="389">
        <f>IF(入力!$I$14+3&lt;27,0,様式4!K63+様式4!K68)</f>
        <v>0</v>
      </c>
      <c r="P51" s="391">
        <f>IF(入力!$I$14+4&lt;27,0,様式4!L63+様式4!L68)</f>
        <v>0</v>
      </c>
      <c r="Q51" s="611">
        <f>様式4!M63+様式4!M68</f>
        <v>0</v>
      </c>
    </row>
    <row r="52" spans="1:18" ht="20.25" customHeight="1" x14ac:dyDescent="0.2">
      <c r="A52" s="898"/>
      <c r="B52" s="892"/>
      <c r="C52" s="222"/>
      <c r="D52" s="901" t="s">
        <v>312</v>
      </c>
      <c r="E52" s="902"/>
      <c r="F52" s="902"/>
      <c r="G52" s="902"/>
      <c r="H52" s="903"/>
      <c r="I52" s="388">
        <f t="shared" ref="I52:P52" si="6">I47+I48+I49+I50+I51</f>
        <v>0</v>
      </c>
      <c r="J52" s="389">
        <f t="shared" si="6"/>
        <v>0</v>
      </c>
      <c r="K52" s="390">
        <f t="shared" si="6"/>
        <v>0</v>
      </c>
      <c r="L52" s="388">
        <f t="shared" si="6"/>
        <v>0</v>
      </c>
      <c r="M52" s="389">
        <f t="shared" si="6"/>
        <v>0</v>
      </c>
      <c r="N52" s="389">
        <f t="shared" si="6"/>
        <v>0</v>
      </c>
      <c r="O52" s="389">
        <f t="shared" si="6"/>
        <v>0</v>
      </c>
      <c r="P52" s="391">
        <f t="shared" si="6"/>
        <v>0</v>
      </c>
      <c r="Q52" s="611">
        <f>SUM(Q47:Q51)</f>
        <v>0</v>
      </c>
    </row>
    <row r="53" spans="1:18" ht="20.25" customHeight="1" x14ac:dyDescent="0.2">
      <c r="A53" s="898"/>
      <c r="B53" s="892"/>
      <c r="C53" s="222"/>
      <c r="D53" s="901" t="s">
        <v>313</v>
      </c>
      <c r="E53" s="902"/>
      <c r="F53" s="902"/>
      <c r="G53" s="902"/>
      <c r="H53" s="903"/>
      <c r="I53" s="388">
        <f>IF(入力!$I$14-3&lt;27,0,様式4!E54)</f>
        <v>0</v>
      </c>
      <c r="J53" s="389">
        <f>IF(入力!$I$14-2&lt;27,0,様式4!F54)</f>
        <v>0</v>
      </c>
      <c r="K53" s="390">
        <f>IF(入力!$I$14-1&lt;27,0,様式4!G54)</f>
        <v>0</v>
      </c>
      <c r="L53" s="388">
        <f>IF(入力!$I$14&lt;27,0,様式4!H54)</f>
        <v>0</v>
      </c>
      <c r="M53" s="389">
        <f>IF(入力!$I$14+1&lt;27,0,様式4!I54)</f>
        <v>0</v>
      </c>
      <c r="N53" s="389">
        <f>IF(入力!$I$14+2&lt;27,0,様式4!J54)</f>
        <v>0</v>
      </c>
      <c r="O53" s="389">
        <f>IF(入力!$I$14+3&lt;27,0,様式4!K54)</f>
        <v>0</v>
      </c>
      <c r="P53" s="391">
        <f>IF(入力!$I$14+4&lt;27,0,様式4!L54)</f>
        <v>0</v>
      </c>
      <c r="Q53" s="611">
        <f>様式4!M54</f>
        <v>0</v>
      </c>
    </row>
    <row r="54" spans="1:18" ht="20.25" customHeight="1" x14ac:dyDescent="0.2">
      <c r="A54" s="898"/>
      <c r="B54" s="892"/>
      <c r="C54" s="755"/>
      <c r="D54" s="906" t="s">
        <v>314</v>
      </c>
      <c r="E54" s="937"/>
      <c r="F54" s="937"/>
      <c r="G54" s="937"/>
      <c r="H54" s="938"/>
      <c r="I54" s="759"/>
      <c r="J54" s="757"/>
      <c r="K54" s="764"/>
      <c r="L54" s="759"/>
      <c r="M54" s="757"/>
      <c r="N54" s="757"/>
      <c r="O54" s="757"/>
      <c r="P54" s="760"/>
      <c r="Q54" s="760"/>
    </row>
    <row r="55" spans="1:18" ht="20.25" customHeight="1" x14ac:dyDescent="0.2">
      <c r="A55" s="898"/>
      <c r="B55" s="893"/>
      <c r="C55" s="229"/>
      <c r="D55" s="907" t="s">
        <v>555</v>
      </c>
      <c r="E55" s="907"/>
      <c r="F55" s="907"/>
      <c r="G55" s="907"/>
      <c r="H55" s="908"/>
      <c r="I55" s="375">
        <f>IF(入力!$I$14-3&gt;=27,SUM(I52:I54),0)</f>
        <v>0</v>
      </c>
      <c r="J55" s="406">
        <f>IF(入力!$I$14-2&gt;=27,SUM(J52:J54),0)</f>
        <v>0</v>
      </c>
      <c r="K55" s="433">
        <f>IF(入力!$I$14-1&gt;=27,SUM(K52:K54),0)</f>
        <v>0</v>
      </c>
      <c r="L55" s="375">
        <f>IF(入力!$I$14&gt;=27,SUM(L52:L54),0)</f>
        <v>0</v>
      </c>
      <c r="M55" s="406">
        <f>IF(入力!$I$14+1&gt;=27,SUM(M52:M54),0)</f>
        <v>0</v>
      </c>
      <c r="N55" s="406">
        <f>IF(入力!$I$14+2&gt;=27,SUM(N52:N54),0)</f>
        <v>0</v>
      </c>
      <c r="O55" s="406">
        <f>IF(入力!$I$14+3&gt;=27,SUM(O52:O54),0)</f>
        <v>0</v>
      </c>
      <c r="P55" s="407">
        <f>IF(入力!$I$14+4&gt;=27,SUM(P52:P54),0)</f>
        <v>0</v>
      </c>
      <c r="Q55" s="615">
        <f>Q52+Q53+Q54</f>
        <v>0</v>
      </c>
    </row>
    <row r="56" spans="1:18" ht="20.25" customHeight="1" x14ac:dyDescent="0.2">
      <c r="A56" s="898"/>
      <c r="B56" s="229"/>
      <c r="C56" s="262"/>
      <c r="D56" s="929" t="s">
        <v>315</v>
      </c>
      <c r="E56" s="929"/>
      <c r="F56" s="929"/>
      <c r="G56" s="929"/>
      <c r="H56" s="930"/>
      <c r="I56" s="375">
        <f t="shared" ref="I56:Q56" si="7">I46-I55</f>
        <v>0</v>
      </c>
      <c r="J56" s="406">
        <f t="shared" si="7"/>
        <v>0</v>
      </c>
      <c r="K56" s="433">
        <f t="shared" si="7"/>
        <v>0</v>
      </c>
      <c r="L56" s="375">
        <f t="shared" si="7"/>
        <v>0</v>
      </c>
      <c r="M56" s="406">
        <f t="shared" si="7"/>
        <v>0</v>
      </c>
      <c r="N56" s="406">
        <f t="shared" si="7"/>
        <v>0</v>
      </c>
      <c r="O56" s="406">
        <f t="shared" si="7"/>
        <v>0</v>
      </c>
      <c r="P56" s="407">
        <f t="shared" si="7"/>
        <v>0</v>
      </c>
      <c r="Q56" s="615">
        <f t="shared" si="7"/>
        <v>0</v>
      </c>
    </row>
    <row r="57" spans="1:18" ht="20.25" customHeight="1" x14ac:dyDescent="0.2">
      <c r="A57" s="898"/>
      <c r="B57" s="229"/>
      <c r="C57" s="319"/>
      <c r="D57" s="914" t="s">
        <v>287</v>
      </c>
      <c r="E57" s="915"/>
      <c r="F57" s="915"/>
      <c r="G57" s="915"/>
      <c r="H57" s="916"/>
      <c r="I57" s="606"/>
      <c r="J57" s="607"/>
      <c r="K57" s="608"/>
      <c r="L57" s="606"/>
      <c r="M57" s="607"/>
      <c r="N57" s="607"/>
      <c r="O57" s="607"/>
      <c r="P57" s="609"/>
      <c r="Q57" s="609"/>
    </row>
    <row r="58" spans="1:18" ht="20.25" customHeight="1" x14ac:dyDescent="0.2">
      <c r="A58" s="921"/>
      <c r="B58" s="943" t="s">
        <v>316</v>
      </c>
      <c r="C58" s="912"/>
      <c r="D58" s="912"/>
      <c r="E58" s="912"/>
      <c r="F58" s="912"/>
      <c r="G58" s="912"/>
      <c r="H58" s="913"/>
      <c r="I58" s="395">
        <f>I56+I57</f>
        <v>0</v>
      </c>
      <c r="J58" s="393">
        <f t="shared" ref="J58:Q58" si="8">J56+J57</f>
        <v>0</v>
      </c>
      <c r="K58" s="432">
        <f t="shared" si="8"/>
        <v>0</v>
      </c>
      <c r="L58" s="395">
        <f t="shared" si="8"/>
        <v>0</v>
      </c>
      <c r="M58" s="393">
        <f t="shared" si="8"/>
        <v>0</v>
      </c>
      <c r="N58" s="393">
        <f t="shared" si="8"/>
        <v>0</v>
      </c>
      <c r="O58" s="393">
        <f t="shared" si="8"/>
        <v>0</v>
      </c>
      <c r="P58" s="396">
        <f t="shared" si="8"/>
        <v>0</v>
      </c>
      <c r="Q58" s="615">
        <f t="shared" si="8"/>
        <v>0</v>
      </c>
    </row>
    <row r="59" spans="1:18" ht="20.25" customHeight="1" x14ac:dyDescent="0.2">
      <c r="A59" s="230"/>
      <c r="B59" s="929" t="s">
        <v>317</v>
      </c>
      <c r="C59" s="929"/>
      <c r="D59" s="929"/>
      <c r="E59" s="929"/>
      <c r="F59" s="929"/>
      <c r="G59" s="929"/>
      <c r="H59" s="930"/>
      <c r="I59" s="375">
        <f t="shared" ref="I59:Q59" si="9">I36+I58</f>
        <v>0</v>
      </c>
      <c r="J59" s="406">
        <f t="shared" si="9"/>
        <v>0</v>
      </c>
      <c r="K59" s="433">
        <f t="shared" si="9"/>
        <v>0</v>
      </c>
      <c r="L59" s="375">
        <f t="shared" si="9"/>
        <v>0</v>
      </c>
      <c r="M59" s="406">
        <f t="shared" si="9"/>
        <v>0</v>
      </c>
      <c r="N59" s="406">
        <f t="shared" si="9"/>
        <v>0</v>
      </c>
      <c r="O59" s="406">
        <f t="shared" si="9"/>
        <v>0</v>
      </c>
      <c r="P59" s="407">
        <f t="shared" si="9"/>
        <v>0</v>
      </c>
      <c r="Q59" s="615">
        <f t="shared" si="9"/>
        <v>0</v>
      </c>
    </row>
    <row r="60" spans="1:18" ht="20.25" customHeight="1" x14ac:dyDescent="0.2">
      <c r="A60" s="230"/>
      <c r="B60" s="944" t="s">
        <v>318</v>
      </c>
      <c r="C60" s="945"/>
      <c r="D60" s="945"/>
      <c r="E60" s="945"/>
      <c r="F60" s="945"/>
      <c r="G60" s="945"/>
      <c r="H60" s="946"/>
      <c r="I60" s="375">
        <f>IF(入力!$I$14-3&lt;27,0,様式4!E43)</f>
        <v>0</v>
      </c>
      <c r="J60" s="406">
        <f>IF(入力!$I$14-2&lt;27,0,様式4!F43)</f>
        <v>0</v>
      </c>
      <c r="K60" s="433">
        <f>IF(入力!$I$14-1&lt;27,0,様式4!G43)</f>
        <v>0</v>
      </c>
      <c r="L60" s="375">
        <f>IF(入力!$I$14&lt;27,0,様式4!H43)</f>
        <v>0</v>
      </c>
      <c r="M60" s="406">
        <f>IF(入力!$I$14+1&lt;27,0,様式4!I43)</f>
        <v>0</v>
      </c>
      <c r="N60" s="406">
        <f>IF(入力!$I$14+2&lt;27,0,様式4!J43)</f>
        <v>0</v>
      </c>
      <c r="O60" s="406">
        <f>IF(入力!$I$14+3&lt;27,0,様式4!K43)</f>
        <v>0</v>
      </c>
      <c r="P60" s="407">
        <f>IF(入力!$I$14+4&lt;27,0,様式4!L43)</f>
        <v>0</v>
      </c>
      <c r="Q60" s="615">
        <f>様式4!M43</f>
        <v>0</v>
      </c>
    </row>
    <row r="61" spans="1:18" ht="20.25" customHeight="1" thickBot="1" x14ac:dyDescent="0.25">
      <c r="A61" s="231"/>
      <c r="B61" s="947" t="s">
        <v>319</v>
      </c>
      <c r="C61" s="948"/>
      <c r="D61" s="948"/>
      <c r="E61" s="948"/>
      <c r="F61" s="948"/>
      <c r="G61" s="948"/>
      <c r="H61" s="949"/>
      <c r="I61" s="375">
        <f>IF(入力!$I$14-3&lt;27,0,様式4!E74)</f>
        <v>0</v>
      </c>
      <c r="J61" s="406">
        <f>IF(入力!$I$14-2&lt;27,0,様式4!F74)</f>
        <v>0</v>
      </c>
      <c r="K61" s="433">
        <f>IF(入力!$I$14-1&lt;27,0,様式4!G74)</f>
        <v>0</v>
      </c>
      <c r="L61" s="375">
        <f>IF(入力!$I$14&lt;27,0,様式4!H74)</f>
        <v>0</v>
      </c>
      <c r="M61" s="406">
        <f>IF(入力!$I$14+1&lt;27,0,様式4!I74)</f>
        <v>0</v>
      </c>
      <c r="N61" s="406">
        <f>IF(入力!$I$14+2&lt;27,0,様式4!J74)</f>
        <v>0</v>
      </c>
      <c r="O61" s="406">
        <f>IF(入力!$I$14+3&lt;27,0,様式4!K74)</f>
        <v>0</v>
      </c>
      <c r="P61" s="414">
        <f>IF(入力!$I$14+4&lt;27,0,様式4!L74)</f>
        <v>0</v>
      </c>
      <c r="Q61" s="616">
        <f>様式4!M74</f>
        <v>0</v>
      </c>
      <c r="R61" s="600"/>
    </row>
    <row r="62" spans="1:18" ht="20.25" customHeight="1" thickBot="1" x14ac:dyDescent="0.25">
      <c r="A62" s="939" t="s">
        <v>381</v>
      </c>
      <c r="B62" s="940"/>
      <c r="C62" s="940"/>
      <c r="D62" s="940"/>
      <c r="E62" s="940"/>
      <c r="F62" s="940"/>
      <c r="G62" s="940"/>
      <c r="H62" s="940"/>
      <c r="I62" s="940"/>
      <c r="J62" s="940"/>
      <c r="K62" s="940"/>
      <c r="L62" s="940"/>
      <c r="M62" s="940"/>
      <c r="N62" s="940"/>
      <c r="O62" s="940"/>
      <c r="P62" s="941"/>
      <c r="Q62" s="329"/>
    </row>
    <row r="63" spans="1:18" ht="20.25" customHeight="1" x14ac:dyDescent="0.2">
      <c r="A63" s="959" t="s">
        <v>320</v>
      </c>
      <c r="B63" s="960"/>
      <c r="C63" s="960"/>
      <c r="D63" s="960"/>
      <c r="E63" s="960"/>
      <c r="F63" s="961"/>
      <c r="G63" s="962"/>
      <c r="H63" s="232"/>
      <c r="I63" s="619"/>
      <c r="J63" s="619"/>
      <c r="K63" s="619"/>
      <c r="L63" s="620"/>
      <c r="M63" s="620"/>
      <c r="N63" s="620"/>
      <c r="O63" s="620"/>
      <c r="P63" s="634"/>
      <c r="Q63" s="624"/>
    </row>
    <row r="64" spans="1:18" ht="20.25" customHeight="1" x14ac:dyDescent="0.2">
      <c r="A64" s="951" t="s">
        <v>321</v>
      </c>
      <c r="B64" s="952"/>
      <c r="C64" s="952"/>
      <c r="D64" s="952"/>
      <c r="E64" s="952"/>
      <c r="F64" s="953"/>
      <c r="G64" s="954"/>
      <c r="H64" s="233"/>
      <c r="I64" s="621"/>
      <c r="J64" s="622"/>
      <c r="K64" s="622"/>
      <c r="L64" s="623"/>
      <c r="M64" s="623"/>
      <c r="N64" s="623"/>
      <c r="O64" s="623"/>
      <c r="P64" s="624"/>
      <c r="Q64" s="624"/>
    </row>
    <row r="65" spans="1:17" ht="20.25" customHeight="1" x14ac:dyDescent="0.2">
      <c r="A65" s="951" t="s">
        <v>322</v>
      </c>
      <c r="B65" s="952"/>
      <c r="C65" s="952"/>
      <c r="D65" s="952"/>
      <c r="E65" s="952"/>
      <c r="F65" s="953"/>
      <c r="G65" s="954"/>
      <c r="H65" s="233"/>
      <c r="I65" s="621"/>
      <c r="J65" s="622"/>
      <c r="K65" s="622"/>
      <c r="L65" s="623"/>
      <c r="M65" s="623"/>
      <c r="N65" s="623"/>
      <c r="O65" s="623"/>
      <c r="P65" s="624"/>
      <c r="Q65" s="624"/>
    </row>
    <row r="66" spans="1:17" ht="20.25" customHeight="1" x14ac:dyDescent="0.2">
      <c r="A66" s="951" t="s">
        <v>323</v>
      </c>
      <c r="B66" s="952"/>
      <c r="C66" s="952"/>
      <c r="D66" s="952"/>
      <c r="E66" s="952"/>
      <c r="F66" s="953"/>
      <c r="G66" s="954"/>
      <c r="H66" s="233"/>
      <c r="I66" s="621"/>
      <c r="J66" s="622"/>
      <c r="K66" s="622"/>
      <c r="L66" s="623"/>
      <c r="M66" s="623"/>
      <c r="N66" s="623"/>
      <c r="O66" s="623"/>
      <c r="P66" s="624"/>
      <c r="Q66" s="624"/>
    </row>
    <row r="67" spans="1:17" ht="20.25" customHeight="1" x14ac:dyDescent="0.2">
      <c r="A67" s="951" t="s">
        <v>324</v>
      </c>
      <c r="B67" s="952"/>
      <c r="C67" s="952"/>
      <c r="D67" s="952"/>
      <c r="E67" s="952"/>
      <c r="F67" s="953"/>
      <c r="G67" s="954"/>
      <c r="H67" s="233"/>
      <c r="I67" s="621"/>
      <c r="J67" s="622"/>
      <c r="K67" s="622"/>
      <c r="L67" s="623"/>
      <c r="M67" s="623"/>
      <c r="N67" s="623"/>
      <c r="O67" s="623"/>
      <c r="P67" s="624"/>
      <c r="Q67" s="624"/>
    </row>
    <row r="68" spans="1:17" ht="20.25" customHeight="1" x14ac:dyDescent="0.2">
      <c r="A68" s="951" t="s">
        <v>325</v>
      </c>
      <c r="B68" s="952"/>
      <c r="C68" s="952"/>
      <c r="D68" s="952"/>
      <c r="E68" s="952"/>
      <c r="F68" s="953"/>
      <c r="G68" s="954"/>
      <c r="H68" s="233"/>
      <c r="I68" s="621"/>
      <c r="J68" s="622"/>
      <c r="K68" s="622"/>
      <c r="L68" s="623"/>
      <c r="M68" s="623"/>
      <c r="N68" s="623"/>
      <c r="O68" s="623"/>
      <c r="P68" s="624"/>
      <c r="Q68" s="624"/>
    </row>
    <row r="69" spans="1:17" ht="20.25" customHeight="1" x14ac:dyDescent="0.2">
      <c r="A69" s="951" t="s">
        <v>326</v>
      </c>
      <c r="B69" s="952"/>
      <c r="C69" s="952"/>
      <c r="D69" s="952"/>
      <c r="E69" s="952"/>
      <c r="F69" s="953"/>
      <c r="G69" s="954"/>
      <c r="H69" s="233"/>
      <c r="I69" s="621"/>
      <c r="J69" s="622"/>
      <c r="K69" s="622"/>
      <c r="L69" s="623"/>
      <c r="M69" s="623"/>
      <c r="N69" s="623"/>
      <c r="O69" s="623"/>
      <c r="P69" s="624"/>
      <c r="Q69" s="624"/>
    </row>
    <row r="70" spans="1:17" ht="20.25" customHeight="1" thickBot="1" x14ac:dyDescent="0.25">
      <c r="A70" s="955" t="s">
        <v>327</v>
      </c>
      <c r="B70" s="956"/>
      <c r="C70" s="956"/>
      <c r="D70" s="956"/>
      <c r="E70" s="956"/>
      <c r="F70" s="957"/>
      <c r="G70" s="958"/>
      <c r="H70" s="234"/>
      <c r="I70" s="625"/>
      <c r="J70" s="626"/>
      <c r="K70" s="626"/>
      <c r="L70" s="627"/>
      <c r="M70" s="627"/>
      <c r="N70" s="627"/>
      <c r="O70" s="627"/>
      <c r="P70" s="628"/>
      <c r="Q70" s="628"/>
    </row>
  </sheetData>
  <mergeCells count="77">
    <mergeCell ref="A69:G69"/>
    <mergeCell ref="A70:G70"/>
    <mergeCell ref="A63:G63"/>
    <mergeCell ref="A64:G64"/>
    <mergeCell ref="A65:G65"/>
    <mergeCell ref="A66:G66"/>
    <mergeCell ref="A67:G67"/>
    <mergeCell ref="A68:G68"/>
    <mergeCell ref="A62:P62"/>
    <mergeCell ref="D51:H51"/>
    <mergeCell ref="D52:H52"/>
    <mergeCell ref="D53:H53"/>
    <mergeCell ref="D54:H54"/>
    <mergeCell ref="D55:H55"/>
    <mergeCell ref="D56:H56"/>
    <mergeCell ref="A37:A58"/>
    <mergeCell ref="D57:H57"/>
    <mergeCell ref="B58:H58"/>
    <mergeCell ref="B59:H59"/>
    <mergeCell ref="B60:H60"/>
    <mergeCell ref="B61:H61"/>
    <mergeCell ref="B47:B55"/>
    <mergeCell ref="D47:H47"/>
    <mergeCell ref="D48:H48"/>
    <mergeCell ref="D43:H43"/>
    <mergeCell ref="D45:H45"/>
    <mergeCell ref="D46:H46"/>
    <mergeCell ref="D49:H49"/>
    <mergeCell ref="D50:H50"/>
    <mergeCell ref="D29:H29"/>
    <mergeCell ref="D30:H30"/>
    <mergeCell ref="D31:H31"/>
    <mergeCell ref="D32:H32"/>
    <mergeCell ref="D44:H44"/>
    <mergeCell ref="D33:H33"/>
    <mergeCell ref="D34:H34"/>
    <mergeCell ref="B35:H35"/>
    <mergeCell ref="B36:H36"/>
    <mergeCell ref="B37:B46"/>
    <mergeCell ref="D37:H37"/>
    <mergeCell ref="D38:H38"/>
    <mergeCell ref="D39:H39"/>
    <mergeCell ref="D40:H40"/>
    <mergeCell ref="D41:H41"/>
    <mergeCell ref="D42:H42"/>
    <mergeCell ref="D16:H16"/>
    <mergeCell ref="D17:H17"/>
    <mergeCell ref="D18:H18"/>
    <mergeCell ref="B19:H19"/>
    <mergeCell ref="A20:A35"/>
    <mergeCell ref="B20:B26"/>
    <mergeCell ref="D20:H20"/>
    <mergeCell ref="D21:H21"/>
    <mergeCell ref="D22:H22"/>
    <mergeCell ref="D23:H23"/>
    <mergeCell ref="D24:H24"/>
    <mergeCell ref="D25:H25"/>
    <mergeCell ref="D26:H26"/>
    <mergeCell ref="B27:B32"/>
    <mergeCell ref="D27:H27"/>
    <mergeCell ref="D28:H28"/>
    <mergeCell ref="B3:H3"/>
    <mergeCell ref="A4:A19"/>
    <mergeCell ref="B4:B12"/>
    <mergeCell ref="D4:H4"/>
    <mergeCell ref="D5:H5"/>
    <mergeCell ref="D6:H6"/>
    <mergeCell ref="D7:H7"/>
    <mergeCell ref="D8:H8"/>
    <mergeCell ref="D9:H9"/>
    <mergeCell ref="D10:H10"/>
    <mergeCell ref="D11:H11"/>
    <mergeCell ref="D12:H12"/>
    <mergeCell ref="B13:B16"/>
    <mergeCell ref="D13:H13"/>
    <mergeCell ref="D14:H14"/>
    <mergeCell ref="D15:H15"/>
  </mergeCells>
  <phoneticPr fontId="2"/>
  <conditionalFormatting sqref="L3:Q3">
    <cfRule type="cellIs" dxfId="704" priority="585" stopIfTrue="1" operator="between">
      <formula>"実績"</formula>
      <formula>"実績"</formula>
    </cfRule>
    <cfRule type="cellIs" dxfId="703" priority="586" stopIfTrue="1" operator="between">
      <formula>"見込"</formula>
      <formula>"見込"</formula>
    </cfRule>
  </conditionalFormatting>
  <pageMargins left="0.59055118110236227" right="0.19685039370078741" top="0.86614173228346458" bottom="0.47244094488188981" header="0.51181102362204722" footer="0.19685039370078741"/>
  <pageSetup paperSize="9" scale="55" orientation="portrait" r:id="rId1"/>
  <headerFooter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expression" priority="577" id="{28AFF4F7-B4AD-4BDB-972E-6CFA55223AF2}">
            <xm:f>入力!$B$14-3&lt;27</xm:f>
            <x14:dxf>
              <fill>
                <patternFill patternType="mediumGray"/>
              </fill>
            </x14:dxf>
          </x14:cfRule>
          <xm:sqref>I4</xm:sqref>
        </x14:conditionalFormatting>
        <x14:conditionalFormatting xmlns:xm="http://schemas.microsoft.com/office/excel/2006/main">
          <x14:cfRule type="expression" priority="576" id="{51E64903-95A1-4CA1-AC6E-87EC7FB37038}">
            <xm:f>入力!$B$14-2&lt;27</xm:f>
            <x14:dxf>
              <fill>
                <patternFill patternType="mediumGray"/>
              </fill>
            </x14:dxf>
          </x14:cfRule>
          <xm:sqref>J4</xm:sqref>
        </x14:conditionalFormatting>
        <x14:conditionalFormatting xmlns:xm="http://schemas.microsoft.com/office/excel/2006/main">
          <x14:cfRule type="expression" priority="575" id="{28ED44DC-1167-448F-BF65-2568866E04FF}">
            <xm:f>入力!$B$14-1&lt;27</xm:f>
            <x14:dxf>
              <fill>
                <patternFill patternType="mediumGray"/>
              </fill>
            </x14:dxf>
          </x14:cfRule>
          <xm:sqref>K4</xm:sqref>
        </x14:conditionalFormatting>
        <x14:conditionalFormatting xmlns:xm="http://schemas.microsoft.com/office/excel/2006/main">
          <x14:cfRule type="expression" priority="574" id="{A65926E9-3E41-4ACE-BE67-512C601332AD}">
            <xm:f>入力!$B$14&lt;27</xm:f>
            <x14:dxf>
              <fill>
                <patternFill patternType="mediumGray"/>
              </fill>
            </x14:dxf>
          </x14:cfRule>
          <xm:sqref>L4</xm:sqref>
        </x14:conditionalFormatting>
        <x14:conditionalFormatting xmlns:xm="http://schemas.microsoft.com/office/excel/2006/main">
          <x14:cfRule type="expression" priority="573" id="{2A5631C5-B524-4097-8953-DFAD194EED1A}">
            <xm:f>入力!$B$14+1&lt;27</xm:f>
            <x14:dxf>
              <fill>
                <patternFill patternType="mediumGray"/>
              </fill>
            </x14:dxf>
          </x14:cfRule>
          <xm:sqref>M4</xm:sqref>
        </x14:conditionalFormatting>
        <x14:conditionalFormatting xmlns:xm="http://schemas.microsoft.com/office/excel/2006/main">
          <x14:cfRule type="expression" priority="572" id="{0434C04D-0F2D-4989-96AF-1A1155B2E535}">
            <xm:f>入力!$B$14+2&lt;27</xm:f>
            <x14:dxf>
              <fill>
                <patternFill patternType="mediumGray"/>
              </fill>
            </x14:dxf>
          </x14:cfRule>
          <xm:sqref>N4</xm:sqref>
        </x14:conditionalFormatting>
        <x14:conditionalFormatting xmlns:xm="http://schemas.microsoft.com/office/excel/2006/main">
          <x14:cfRule type="expression" priority="571" id="{E5E113DF-6924-4023-AC8A-F3A93D404903}">
            <xm:f>入力!$B$14+3&lt;27</xm:f>
            <x14:dxf>
              <fill>
                <patternFill patternType="mediumGray"/>
              </fill>
            </x14:dxf>
          </x14:cfRule>
          <xm:sqref>O4</xm:sqref>
        </x14:conditionalFormatting>
        <x14:conditionalFormatting xmlns:xm="http://schemas.microsoft.com/office/excel/2006/main">
          <x14:cfRule type="expression" priority="570" id="{F744EE9F-0EAD-48BE-A727-E163DB60543B}">
            <xm:f>入力!$B$14+4&lt;27</xm:f>
            <x14:dxf>
              <fill>
                <patternFill patternType="mediumGray"/>
              </fill>
            </x14:dxf>
          </x14:cfRule>
          <xm:sqref>P4</xm:sqref>
        </x14:conditionalFormatting>
        <x14:conditionalFormatting xmlns:xm="http://schemas.microsoft.com/office/excel/2006/main">
          <x14:cfRule type="expression" priority="569" id="{AE3420B0-1F44-4180-9B89-F728DD38433A}">
            <xm:f>入力!$B$14-3&lt;27</xm:f>
            <x14:dxf>
              <fill>
                <patternFill patternType="mediumGray"/>
              </fill>
            </x14:dxf>
          </x14:cfRule>
          <xm:sqref>I5</xm:sqref>
        </x14:conditionalFormatting>
        <x14:conditionalFormatting xmlns:xm="http://schemas.microsoft.com/office/excel/2006/main">
          <x14:cfRule type="expression" priority="568" id="{222235DA-4569-47F5-8A13-D2F22BB83324}">
            <xm:f>入力!$B$14-2&lt;27</xm:f>
            <x14:dxf>
              <fill>
                <patternFill patternType="mediumGray"/>
              </fill>
            </x14:dxf>
          </x14:cfRule>
          <xm:sqref>J5</xm:sqref>
        </x14:conditionalFormatting>
        <x14:conditionalFormatting xmlns:xm="http://schemas.microsoft.com/office/excel/2006/main">
          <x14:cfRule type="expression" priority="567" id="{838BE537-026C-491D-91E1-013F0D2BFEB5}">
            <xm:f>入力!$B$14-1&lt;27</xm:f>
            <x14:dxf>
              <fill>
                <patternFill patternType="mediumGray"/>
              </fill>
            </x14:dxf>
          </x14:cfRule>
          <xm:sqref>K5</xm:sqref>
        </x14:conditionalFormatting>
        <x14:conditionalFormatting xmlns:xm="http://schemas.microsoft.com/office/excel/2006/main">
          <x14:cfRule type="expression" priority="566" id="{0B4DC3FD-6993-43CE-BE9B-F9D2A0C90637}">
            <xm:f>入力!$B$14&lt;27</xm:f>
            <x14:dxf>
              <fill>
                <patternFill patternType="mediumGray"/>
              </fill>
            </x14:dxf>
          </x14:cfRule>
          <xm:sqref>L5</xm:sqref>
        </x14:conditionalFormatting>
        <x14:conditionalFormatting xmlns:xm="http://schemas.microsoft.com/office/excel/2006/main">
          <x14:cfRule type="expression" priority="565" id="{DB705460-8267-4CC8-81FC-B5E9DBAF5BB8}">
            <xm:f>入力!$B$14+1&lt;27</xm:f>
            <x14:dxf>
              <fill>
                <patternFill patternType="mediumGray"/>
              </fill>
            </x14:dxf>
          </x14:cfRule>
          <xm:sqref>M5</xm:sqref>
        </x14:conditionalFormatting>
        <x14:conditionalFormatting xmlns:xm="http://schemas.microsoft.com/office/excel/2006/main">
          <x14:cfRule type="expression" priority="564" id="{BF3C2CCF-B42E-42D6-AF23-6BFF73E5BF98}">
            <xm:f>入力!$B$14+2&lt;27</xm:f>
            <x14:dxf>
              <fill>
                <patternFill patternType="mediumGray"/>
              </fill>
            </x14:dxf>
          </x14:cfRule>
          <xm:sqref>N5</xm:sqref>
        </x14:conditionalFormatting>
        <x14:conditionalFormatting xmlns:xm="http://schemas.microsoft.com/office/excel/2006/main">
          <x14:cfRule type="expression" priority="563" id="{92FDE643-E25D-4CD0-B4C8-FEBCDDCC1B7F}">
            <xm:f>入力!$B$14+3&lt;27</xm:f>
            <x14:dxf>
              <fill>
                <patternFill patternType="mediumGray"/>
              </fill>
            </x14:dxf>
          </x14:cfRule>
          <xm:sqref>O5</xm:sqref>
        </x14:conditionalFormatting>
        <x14:conditionalFormatting xmlns:xm="http://schemas.microsoft.com/office/excel/2006/main">
          <x14:cfRule type="expression" priority="562" id="{D36D15C4-A4B9-4E4F-AB0E-B09AB5A7A7C6}">
            <xm:f>入力!$B$14+4&lt;27</xm:f>
            <x14:dxf>
              <fill>
                <patternFill patternType="mediumGray"/>
              </fill>
            </x14:dxf>
          </x14:cfRule>
          <xm:sqref>P5</xm:sqref>
        </x14:conditionalFormatting>
        <x14:conditionalFormatting xmlns:xm="http://schemas.microsoft.com/office/excel/2006/main">
          <x14:cfRule type="expression" priority="561" id="{874F5E09-1191-481E-ACD1-9B6A0BFFADB5}">
            <xm:f>入力!$B$14-3&lt;27</xm:f>
            <x14:dxf>
              <fill>
                <patternFill patternType="mediumGray"/>
              </fill>
            </x14:dxf>
          </x14:cfRule>
          <xm:sqref>I6</xm:sqref>
        </x14:conditionalFormatting>
        <x14:conditionalFormatting xmlns:xm="http://schemas.microsoft.com/office/excel/2006/main">
          <x14:cfRule type="expression" priority="560" id="{D8DFAE5A-4618-4A0F-8A2A-480603C3ACF8}">
            <xm:f>入力!$B$14-2&lt;27</xm:f>
            <x14:dxf>
              <fill>
                <patternFill patternType="mediumGray"/>
              </fill>
            </x14:dxf>
          </x14:cfRule>
          <xm:sqref>J6</xm:sqref>
        </x14:conditionalFormatting>
        <x14:conditionalFormatting xmlns:xm="http://schemas.microsoft.com/office/excel/2006/main">
          <x14:cfRule type="expression" priority="559" id="{C8959F60-51D3-4105-99ED-9B80E6C9DEB0}">
            <xm:f>入力!$B$14-1&lt;27</xm:f>
            <x14:dxf>
              <fill>
                <patternFill patternType="mediumGray"/>
              </fill>
            </x14:dxf>
          </x14:cfRule>
          <xm:sqref>K6</xm:sqref>
        </x14:conditionalFormatting>
        <x14:conditionalFormatting xmlns:xm="http://schemas.microsoft.com/office/excel/2006/main">
          <x14:cfRule type="expression" priority="558" id="{E7C9A6DF-D29A-4712-8CD0-0FE6F94915E7}">
            <xm:f>入力!$B$14&lt;27</xm:f>
            <x14:dxf>
              <fill>
                <patternFill patternType="mediumGray"/>
              </fill>
            </x14:dxf>
          </x14:cfRule>
          <xm:sqref>L6</xm:sqref>
        </x14:conditionalFormatting>
        <x14:conditionalFormatting xmlns:xm="http://schemas.microsoft.com/office/excel/2006/main">
          <x14:cfRule type="expression" priority="557" id="{3FBC3954-4088-4FCD-B47B-0113D9BBA2AC}">
            <xm:f>入力!$B$14+1&lt;27</xm:f>
            <x14:dxf>
              <fill>
                <patternFill patternType="mediumGray"/>
              </fill>
            </x14:dxf>
          </x14:cfRule>
          <xm:sqref>M6</xm:sqref>
        </x14:conditionalFormatting>
        <x14:conditionalFormatting xmlns:xm="http://schemas.microsoft.com/office/excel/2006/main">
          <x14:cfRule type="expression" priority="556" id="{C438E434-7924-4383-B96B-D2FE46B881A9}">
            <xm:f>入力!$B$14+2&lt;27</xm:f>
            <x14:dxf>
              <fill>
                <patternFill patternType="mediumGray"/>
              </fill>
            </x14:dxf>
          </x14:cfRule>
          <xm:sqref>N6</xm:sqref>
        </x14:conditionalFormatting>
        <x14:conditionalFormatting xmlns:xm="http://schemas.microsoft.com/office/excel/2006/main">
          <x14:cfRule type="expression" priority="555" id="{D01D99B1-3009-45D9-8598-FC7D5CE90792}">
            <xm:f>入力!$B$14+3&lt;27</xm:f>
            <x14:dxf>
              <fill>
                <patternFill patternType="mediumGray"/>
              </fill>
            </x14:dxf>
          </x14:cfRule>
          <xm:sqref>O6</xm:sqref>
        </x14:conditionalFormatting>
        <x14:conditionalFormatting xmlns:xm="http://schemas.microsoft.com/office/excel/2006/main">
          <x14:cfRule type="expression" priority="554" id="{0473EEBE-75A4-4A1F-963B-B95C86E037CA}">
            <xm:f>入力!$B$14+4&lt;27</xm:f>
            <x14:dxf>
              <fill>
                <patternFill patternType="mediumGray"/>
              </fill>
            </x14:dxf>
          </x14:cfRule>
          <xm:sqref>P6</xm:sqref>
        </x14:conditionalFormatting>
        <x14:conditionalFormatting xmlns:xm="http://schemas.microsoft.com/office/excel/2006/main">
          <x14:cfRule type="expression" priority="553" id="{A0A886D6-258E-498E-A700-92392CC7F782}">
            <xm:f>入力!$B$14-3&lt;27</xm:f>
            <x14:dxf>
              <fill>
                <patternFill patternType="mediumGray"/>
              </fill>
            </x14:dxf>
          </x14:cfRule>
          <xm:sqref>I7</xm:sqref>
        </x14:conditionalFormatting>
        <x14:conditionalFormatting xmlns:xm="http://schemas.microsoft.com/office/excel/2006/main">
          <x14:cfRule type="expression" priority="552" id="{E778DA41-3BE5-4462-8EDB-13AFD9D2E957}">
            <xm:f>入力!$B$14-2&lt;27</xm:f>
            <x14:dxf>
              <fill>
                <patternFill patternType="mediumGray"/>
              </fill>
            </x14:dxf>
          </x14:cfRule>
          <xm:sqref>J7</xm:sqref>
        </x14:conditionalFormatting>
        <x14:conditionalFormatting xmlns:xm="http://schemas.microsoft.com/office/excel/2006/main">
          <x14:cfRule type="expression" priority="551" id="{AEEC0375-3124-4B5F-9C6D-61D52C99C1C1}">
            <xm:f>入力!$B$14-1&lt;27</xm:f>
            <x14:dxf>
              <fill>
                <patternFill patternType="mediumGray"/>
              </fill>
            </x14:dxf>
          </x14:cfRule>
          <xm:sqref>K7</xm:sqref>
        </x14:conditionalFormatting>
        <x14:conditionalFormatting xmlns:xm="http://schemas.microsoft.com/office/excel/2006/main">
          <x14:cfRule type="expression" priority="550" id="{A4B45122-349A-41FA-996E-D52C88EE7EE7}">
            <xm:f>入力!$B$14&lt;27</xm:f>
            <x14:dxf>
              <fill>
                <patternFill patternType="mediumGray"/>
              </fill>
            </x14:dxf>
          </x14:cfRule>
          <xm:sqref>L7</xm:sqref>
        </x14:conditionalFormatting>
        <x14:conditionalFormatting xmlns:xm="http://schemas.microsoft.com/office/excel/2006/main">
          <x14:cfRule type="expression" priority="549" id="{8CF3B243-7EA2-4E11-ABE3-BACB19F2F617}">
            <xm:f>入力!$B$14+1&lt;27</xm:f>
            <x14:dxf>
              <fill>
                <patternFill patternType="mediumGray"/>
              </fill>
            </x14:dxf>
          </x14:cfRule>
          <xm:sqref>M7</xm:sqref>
        </x14:conditionalFormatting>
        <x14:conditionalFormatting xmlns:xm="http://schemas.microsoft.com/office/excel/2006/main">
          <x14:cfRule type="expression" priority="548" id="{175AAA5D-8AE3-4862-8B2C-32A5711312FC}">
            <xm:f>入力!$B$14+2&lt;27</xm:f>
            <x14:dxf>
              <fill>
                <patternFill patternType="mediumGray"/>
              </fill>
            </x14:dxf>
          </x14:cfRule>
          <xm:sqref>N7</xm:sqref>
        </x14:conditionalFormatting>
        <x14:conditionalFormatting xmlns:xm="http://schemas.microsoft.com/office/excel/2006/main">
          <x14:cfRule type="expression" priority="547" id="{8D69F669-A769-4E10-8E31-FD06E5C853CD}">
            <xm:f>入力!$B$14+3&lt;27</xm:f>
            <x14:dxf>
              <fill>
                <patternFill patternType="mediumGray"/>
              </fill>
            </x14:dxf>
          </x14:cfRule>
          <xm:sqref>O7</xm:sqref>
        </x14:conditionalFormatting>
        <x14:conditionalFormatting xmlns:xm="http://schemas.microsoft.com/office/excel/2006/main">
          <x14:cfRule type="expression" priority="546" id="{764B71A6-4293-4B5B-B89B-8891F7F67CE8}">
            <xm:f>入力!$B$14+4&lt;27</xm:f>
            <x14:dxf>
              <fill>
                <patternFill patternType="mediumGray"/>
              </fill>
            </x14:dxf>
          </x14:cfRule>
          <xm:sqref>P7</xm:sqref>
        </x14:conditionalFormatting>
        <x14:conditionalFormatting xmlns:xm="http://schemas.microsoft.com/office/excel/2006/main">
          <x14:cfRule type="expression" priority="545" id="{3B3AE4F2-BB78-4E13-BD7F-08D7DEE3C500}">
            <xm:f>入力!$B$14-3&lt;27</xm:f>
            <x14:dxf>
              <fill>
                <patternFill patternType="mediumGray"/>
              </fill>
            </x14:dxf>
          </x14:cfRule>
          <xm:sqref>I8</xm:sqref>
        </x14:conditionalFormatting>
        <x14:conditionalFormatting xmlns:xm="http://schemas.microsoft.com/office/excel/2006/main">
          <x14:cfRule type="expression" priority="544" id="{C8585C37-C211-4C48-BA4A-DFEEC33CE41A}">
            <xm:f>入力!$B$14-2&lt;27</xm:f>
            <x14:dxf>
              <fill>
                <patternFill patternType="mediumGray"/>
              </fill>
            </x14:dxf>
          </x14:cfRule>
          <xm:sqref>J8</xm:sqref>
        </x14:conditionalFormatting>
        <x14:conditionalFormatting xmlns:xm="http://schemas.microsoft.com/office/excel/2006/main">
          <x14:cfRule type="expression" priority="543" id="{A07B95CC-4628-41B2-B2A0-FF16AB9D4C79}">
            <xm:f>入力!$B$14-1&lt;27</xm:f>
            <x14:dxf>
              <fill>
                <patternFill patternType="mediumGray"/>
              </fill>
            </x14:dxf>
          </x14:cfRule>
          <xm:sqref>K8</xm:sqref>
        </x14:conditionalFormatting>
        <x14:conditionalFormatting xmlns:xm="http://schemas.microsoft.com/office/excel/2006/main">
          <x14:cfRule type="expression" priority="542" id="{2587388E-B559-4B56-89FE-2B0B2952E45B}">
            <xm:f>入力!$B$14&lt;27</xm:f>
            <x14:dxf>
              <fill>
                <patternFill patternType="mediumGray"/>
              </fill>
            </x14:dxf>
          </x14:cfRule>
          <xm:sqref>L8</xm:sqref>
        </x14:conditionalFormatting>
        <x14:conditionalFormatting xmlns:xm="http://schemas.microsoft.com/office/excel/2006/main">
          <x14:cfRule type="expression" priority="541" id="{59651854-625C-403F-8AA5-4A558A9E35A0}">
            <xm:f>入力!$B$14+1&lt;27</xm:f>
            <x14:dxf>
              <fill>
                <patternFill patternType="mediumGray"/>
              </fill>
            </x14:dxf>
          </x14:cfRule>
          <xm:sqref>M8</xm:sqref>
        </x14:conditionalFormatting>
        <x14:conditionalFormatting xmlns:xm="http://schemas.microsoft.com/office/excel/2006/main">
          <x14:cfRule type="expression" priority="540" id="{C0DDD93F-44ED-4F44-BA3F-9E88D8A9EEAB}">
            <xm:f>入力!$B$14+2&lt;27</xm:f>
            <x14:dxf>
              <fill>
                <patternFill patternType="mediumGray"/>
              </fill>
            </x14:dxf>
          </x14:cfRule>
          <xm:sqref>N8</xm:sqref>
        </x14:conditionalFormatting>
        <x14:conditionalFormatting xmlns:xm="http://schemas.microsoft.com/office/excel/2006/main">
          <x14:cfRule type="expression" priority="539" id="{CE4308F0-6EA1-4030-98DC-BC7EA4D515A6}">
            <xm:f>入力!$B$14+3&lt;27</xm:f>
            <x14:dxf>
              <fill>
                <patternFill patternType="mediumGray"/>
              </fill>
            </x14:dxf>
          </x14:cfRule>
          <xm:sqref>O8</xm:sqref>
        </x14:conditionalFormatting>
        <x14:conditionalFormatting xmlns:xm="http://schemas.microsoft.com/office/excel/2006/main">
          <x14:cfRule type="expression" priority="538" id="{C0650F19-97AC-4669-8BD1-16C3A621A215}">
            <xm:f>入力!$B$14+4&lt;27</xm:f>
            <x14:dxf>
              <fill>
                <patternFill patternType="mediumGray"/>
              </fill>
            </x14:dxf>
          </x14:cfRule>
          <xm:sqref>P8</xm:sqref>
        </x14:conditionalFormatting>
        <x14:conditionalFormatting xmlns:xm="http://schemas.microsoft.com/office/excel/2006/main">
          <x14:cfRule type="expression" priority="537" id="{6F17F6DF-A034-45EA-804B-3C58F7648920}">
            <xm:f>入力!$B$14-3&lt;27</xm:f>
            <x14:dxf>
              <fill>
                <patternFill patternType="mediumGray"/>
              </fill>
            </x14:dxf>
          </x14:cfRule>
          <xm:sqref>I9</xm:sqref>
        </x14:conditionalFormatting>
        <x14:conditionalFormatting xmlns:xm="http://schemas.microsoft.com/office/excel/2006/main">
          <x14:cfRule type="expression" priority="536" id="{13620978-39DE-4CEA-8569-27D81AE29DCC}">
            <xm:f>入力!$B$14-2&lt;27</xm:f>
            <x14:dxf>
              <fill>
                <patternFill patternType="mediumGray"/>
              </fill>
            </x14:dxf>
          </x14:cfRule>
          <xm:sqref>J9</xm:sqref>
        </x14:conditionalFormatting>
        <x14:conditionalFormatting xmlns:xm="http://schemas.microsoft.com/office/excel/2006/main">
          <x14:cfRule type="expression" priority="535" id="{5A6743D8-DDBC-4CF9-ACC0-05B1D5E447E0}">
            <xm:f>入力!$B$14-1&lt;27</xm:f>
            <x14:dxf>
              <fill>
                <patternFill patternType="mediumGray"/>
              </fill>
            </x14:dxf>
          </x14:cfRule>
          <xm:sqref>K9</xm:sqref>
        </x14:conditionalFormatting>
        <x14:conditionalFormatting xmlns:xm="http://schemas.microsoft.com/office/excel/2006/main">
          <x14:cfRule type="expression" priority="534" id="{A8980D56-424C-479D-994B-57BC3AC5E930}">
            <xm:f>入力!$B$14&lt;27</xm:f>
            <x14:dxf>
              <fill>
                <patternFill patternType="mediumGray"/>
              </fill>
            </x14:dxf>
          </x14:cfRule>
          <xm:sqref>L9</xm:sqref>
        </x14:conditionalFormatting>
        <x14:conditionalFormatting xmlns:xm="http://schemas.microsoft.com/office/excel/2006/main">
          <x14:cfRule type="expression" priority="533" id="{D812F6AE-4593-45FE-9FDA-3586F3BEA23C}">
            <xm:f>入力!$B$14+1&lt;27</xm:f>
            <x14:dxf>
              <fill>
                <patternFill patternType="mediumGray"/>
              </fill>
            </x14:dxf>
          </x14:cfRule>
          <xm:sqref>M9</xm:sqref>
        </x14:conditionalFormatting>
        <x14:conditionalFormatting xmlns:xm="http://schemas.microsoft.com/office/excel/2006/main">
          <x14:cfRule type="expression" priority="532" id="{C98FED81-D6FB-41BF-B203-6490B06B6DCD}">
            <xm:f>入力!$B$14+2&lt;27</xm:f>
            <x14:dxf>
              <fill>
                <patternFill patternType="mediumGray"/>
              </fill>
            </x14:dxf>
          </x14:cfRule>
          <xm:sqref>N9</xm:sqref>
        </x14:conditionalFormatting>
        <x14:conditionalFormatting xmlns:xm="http://schemas.microsoft.com/office/excel/2006/main">
          <x14:cfRule type="expression" priority="531" id="{E4660688-1847-4E9B-B966-F657CD24E7C4}">
            <xm:f>入力!$B$14+3&lt;27</xm:f>
            <x14:dxf>
              <fill>
                <patternFill patternType="mediumGray"/>
              </fill>
            </x14:dxf>
          </x14:cfRule>
          <xm:sqref>O9</xm:sqref>
        </x14:conditionalFormatting>
        <x14:conditionalFormatting xmlns:xm="http://schemas.microsoft.com/office/excel/2006/main">
          <x14:cfRule type="expression" priority="530" id="{00188854-8A02-4398-B815-8027AFF5144B}">
            <xm:f>入力!$B$14+4&lt;27</xm:f>
            <x14:dxf>
              <fill>
                <patternFill patternType="mediumGray"/>
              </fill>
            </x14:dxf>
          </x14:cfRule>
          <xm:sqref>P9</xm:sqref>
        </x14:conditionalFormatting>
        <x14:conditionalFormatting xmlns:xm="http://schemas.microsoft.com/office/excel/2006/main">
          <x14:cfRule type="expression" priority="529" id="{3CCC7E47-DA02-455C-B3D2-5ECB30FDEC95}">
            <xm:f>入力!$B$14-3&lt;27</xm:f>
            <x14:dxf>
              <fill>
                <patternFill patternType="mediumGray"/>
              </fill>
            </x14:dxf>
          </x14:cfRule>
          <xm:sqref>I10</xm:sqref>
        </x14:conditionalFormatting>
        <x14:conditionalFormatting xmlns:xm="http://schemas.microsoft.com/office/excel/2006/main">
          <x14:cfRule type="expression" priority="528" id="{2D3C5C74-55CA-4EEB-840C-6E7D64459D27}">
            <xm:f>入力!$B$14-2&lt;27</xm:f>
            <x14:dxf>
              <fill>
                <patternFill patternType="mediumGray"/>
              </fill>
            </x14:dxf>
          </x14:cfRule>
          <xm:sqref>J10</xm:sqref>
        </x14:conditionalFormatting>
        <x14:conditionalFormatting xmlns:xm="http://schemas.microsoft.com/office/excel/2006/main">
          <x14:cfRule type="expression" priority="527" id="{3985DB92-7DA7-4783-BF0D-48EAAFE96132}">
            <xm:f>入力!$B$14-1&lt;27</xm:f>
            <x14:dxf>
              <fill>
                <patternFill patternType="mediumGray"/>
              </fill>
            </x14:dxf>
          </x14:cfRule>
          <xm:sqref>K10</xm:sqref>
        </x14:conditionalFormatting>
        <x14:conditionalFormatting xmlns:xm="http://schemas.microsoft.com/office/excel/2006/main">
          <x14:cfRule type="expression" priority="526" id="{A1FE9BBB-9C36-498B-A687-5C5E8CC82729}">
            <xm:f>入力!$B$14&lt;27</xm:f>
            <x14:dxf>
              <fill>
                <patternFill patternType="mediumGray"/>
              </fill>
            </x14:dxf>
          </x14:cfRule>
          <xm:sqref>L10</xm:sqref>
        </x14:conditionalFormatting>
        <x14:conditionalFormatting xmlns:xm="http://schemas.microsoft.com/office/excel/2006/main">
          <x14:cfRule type="expression" priority="525" id="{753BD180-CA23-4110-876F-10A728784779}">
            <xm:f>入力!$B$14+1&lt;27</xm:f>
            <x14:dxf>
              <fill>
                <patternFill patternType="mediumGray"/>
              </fill>
            </x14:dxf>
          </x14:cfRule>
          <xm:sqref>M10</xm:sqref>
        </x14:conditionalFormatting>
        <x14:conditionalFormatting xmlns:xm="http://schemas.microsoft.com/office/excel/2006/main">
          <x14:cfRule type="expression" priority="524" id="{0F583548-E82B-4696-B176-26FB7FE8E840}">
            <xm:f>入力!$B$14+2&lt;27</xm:f>
            <x14:dxf>
              <fill>
                <patternFill patternType="mediumGray"/>
              </fill>
            </x14:dxf>
          </x14:cfRule>
          <xm:sqref>N10</xm:sqref>
        </x14:conditionalFormatting>
        <x14:conditionalFormatting xmlns:xm="http://schemas.microsoft.com/office/excel/2006/main">
          <x14:cfRule type="expression" priority="523" id="{A1C35C2F-67B1-439D-B9E8-D017787B2BF4}">
            <xm:f>入力!$B$14+3&lt;27</xm:f>
            <x14:dxf>
              <fill>
                <patternFill patternType="mediumGray"/>
              </fill>
            </x14:dxf>
          </x14:cfRule>
          <xm:sqref>O10</xm:sqref>
        </x14:conditionalFormatting>
        <x14:conditionalFormatting xmlns:xm="http://schemas.microsoft.com/office/excel/2006/main">
          <x14:cfRule type="expression" priority="522" id="{3EC55C40-FC44-48A1-9C94-557A2703E46D}">
            <xm:f>入力!$B$14+4&lt;27</xm:f>
            <x14:dxf>
              <fill>
                <patternFill patternType="mediumGray"/>
              </fill>
            </x14:dxf>
          </x14:cfRule>
          <xm:sqref>P10</xm:sqref>
        </x14:conditionalFormatting>
        <x14:conditionalFormatting xmlns:xm="http://schemas.microsoft.com/office/excel/2006/main">
          <x14:cfRule type="expression" priority="521" id="{E363AF39-A0CA-4E67-AF65-7C4C2F0CC3BE}">
            <xm:f>入力!$B$14-3&lt;27</xm:f>
            <x14:dxf>
              <fill>
                <patternFill patternType="mediumGray"/>
              </fill>
            </x14:dxf>
          </x14:cfRule>
          <xm:sqref>I11</xm:sqref>
        </x14:conditionalFormatting>
        <x14:conditionalFormatting xmlns:xm="http://schemas.microsoft.com/office/excel/2006/main">
          <x14:cfRule type="expression" priority="520" id="{302CE016-6DB3-4E7A-808D-43E58740ABEC}">
            <xm:f>入力!$B$14-2&lt;27</xm:f>
            <x14:dxf>
              <fill>
                <patternFill patternType="mediumGray"/>
              </fill>
            </x14:dxf>
          </x14:cfRule>
          <xm:sqref>J11</xm:sqref>
        </x14:conditionalFormatting>
        <x14:conditionalFormatting xmlns:xm="http://schemas.microsoft.com/office/excel/2006/main">
          <x14:cfRule type="expression" priority="519" id="{44B5E686-BFBC-4CD1-88C8-91F1484C06AF}">
            <xm:f>入力!$B$14-1&lt;27</xm:f>
            <x14:dxf>
              <fill>
                <patternFill patternType="mediumGray"/>
              </fill>
            </x14:dxf>
          </x14:cfRule>
          <xm:sqref>K11</xm:sqref>
        </x14:conditionalFormatting>
        <x14:conditionalFormatting xmlns:xm="http://schemas.microsoft.com/office/excel/2006/main">
          <x14:cfRule type="expression" priority="518" id="{CD8D6C8A-8EA3-4817-8E82-EFEB8E6C133B}">
            <xm:f>入力!$B$14&lt;27</xm:f>
            <x14:dxf>
              <fill>
                <patternFill patternType="mediumGray"/>
              </fill>
            </x14:dxf>
          </x14:cfRule>
          <xm:sqref>L11</xm:sqref>
        </x14:conditionalFormatting>
        <x14:conditionalFormatting xmlns:xm="http://schemas.microsoft.com/office/excel/2006/main">
          <x14:cfRule type="expression" priority="517" id="{12195E35-1B99-4580-891D-FA470AA3BA27}">
            <xm:f>入力!$B$14+1&lt;27</xm:f>
            <x14:dxf>
              <fill>
                <patternFill patternType="mediumGray"/>
              </fill>
            </x14:dxf>
          </x14:cfRule>
          <xm:sqref>M11</xm:sqref>
        </x14:conditionalFormatting>
        <x14:conditionalFormatting xmlns:xm="http://schemas.microsoft.com/office/excel/2006/main">
          <x14:cfRule type="expression" priority="516" id="{E7BE7BBE-1704-4B8A-8F5A-3080EE2CD845}">
            <xm:f>入力!$B$14+2&lt;27</xm:f>
            <x14:dxf>
              <fill>
                <patternFill patternType="mediumGray"/>
              </fill>
            </x14:dxf>
          </x14:cfRule>
          <xm:sqref>N11</xm:sqref>
        </x14:conditionalFormatting>
        <x14:conditionalFormatting xmlns:xm="http://schemas.microsoft.com/office/excel/2006/main">
          <x14:cfRule type="expression" priority="515" id="{3111A1FA-4B17-406A-9300-639BF9632F33}">
            <xm:f>入力!$B$14+3&lt;27</xm:f>
            <x14:dxf>
              <fill>
                <patternFill patternType="mediumGray"/>
              </fill>
            </x14:dxf>
          </x14:cfRule>
          <xm:sqref>O11</xm:sqref>
        </x14:conditionalFormatting>
        <x14:conditionalFormatting xmlns:xm="http://schemas.microsoft.com/office/excel/2006/main">
          <x14:cfRule type="expression" priority="514" id="{93A440FA-13D5-46E9-9F74-E9A3AE4650D8}">
            <xm:f>入力!$B$14+4&lt;27</xm:f>
            <x14:dxf>
              <fill>
                <patternFill patternType="mediumGray"/>
              </fill>
            </x14:dxf>
          </x14:cfRule>
          <xm:sqref>P11</xm:sqref>
        </x14:conditionalFormatting>
        <x14:conditionalFormatting xmlns:xm="http://schemas.microsoft.com/office/excel/2006/main">
          <x14:cfRule type="expression" priority="513" id="{A532273D-748F-4783-8C7A-DD2A8AD2AFDA}">
            <xm:f>入力!$B$14-3&lt;27</xm:f>
            <x14:dxf>
              <fill>
                <patternFill patternType="mediumGray"/>
              </fill>
            </x14:dxf>
          </x14:cfRule>
          <xm:sqref>I12</xm:sqref>
        </x14:conditionalFormatting>
        <x14:conditionalFormatting xmlns:xm="http://schemas.microsoft.com/office/excel/2006/main">
          <x14:cfRule type="expression" priority="512" id="{3E61A7F1-E649-4CE9-9224-A77443244F7E}">
            <xm:f>入力!$B$14-2&lt;27</xm:f>
            <x14:dxf>
              <fill>
                <patternFill patternType="mediumGray"/>
              </fill>
            </x14:dxf>
          </x14:cfRule>
          <xm:sqref>J12</xm:sqref>
        </x14:conditionalFormatting>
        <x14:conditionalFormatting xmlns:xm="http://schemas.microsoft.com/office/excel/2006/main">
          <x14:cfRule type="expression" priority="511" id="{16E8C605-4E30-4680-8323-67E18DE326BD}">
            <xm:f>入力!$B$14-1&lt;27</xm:f>
            <x14:dxf>
              <fill>
                <patternFill patternType="mediumGray"/>
              </fill>
            </x14:dxf>
          </x14:cfRule>
          <xm:sqref>K12</xm:sqref>
        </x14:conditionalFormatting>
        <x14:conditionalFormatting xmlns:xm="http://schemas.microsoft.com/office/excel/2006/main">
          <x14:cfRule type="expression" priority="510" id="{CA8EFE0F-BB1C-4295-A3F8-F54B1292DACC}">
            <xm:f>入力!$B$14&lt;27</xm:f>
            <x14:dxf>
              <fill>
                <patternFill patternType="mediumGray"/>
              </fill>
            </x14:dxf>
          </x14:cfRule>
          <xm:sqref>L12</xm:sqref>
        </x14:conditionalFormatting>
        <x14:conditionalFormatting xmlns:xm="http://schemas.microsoft.com/office/excel/2006/main">
          <x14:cfRule type="expression" priority="509" id="{8F6C85C4-3AF1-4972-8BD4-5171F678C879}">
            <xm:f>入力!$B$14+1&lt;27</xm:f>
            <x14:dxf>
              <fill>
                <patternFill patternType="mediumGray"/>
              </fill>
            </x14:dxf>
          </x14:cfRule>
          <xm:sqref>M12</xm:sqref>
        </x14:conditionalFormatting>
        <x14:conditionalFormatting xmlns:xm="http://schemas.microsoft.com/office/excel/2006/main">
          <x14:cfRule type="expression" priority="508" id="{E6BA7A78-536B-4F52-916F-BD7417E1688A}">
            <xm:f>入力!$B$14+2&lt;27</xm:f>
            <x14:dxf>
              <fill>
                <patternFill patternType="mediumGray"/>
              </fill>
            </x14:dxf>
          </x14:cfRule>
          <xm:sqref>N12</xm:sqref>
        </x14:conditionalFormatting>
        <x14:conditionalFormatting xmlns:xm="http://schemas.microsoft.com/office/excel/2006/main">
          <x14:cfRule type="expression" priority="507" id="{2C9D0662-23ED-44EB-AB4C-BAD059BEDA3B}">
            <xm:f>入力!$B$14+3&lt;27</xm:f>
            <x14:dxf>
              <fill>
                <patternFill patternType="mediumGray"/>
              </fill>
            </x14:dxf>
          </x14:cfRule>
          <xm:sqref>O12</xm:sqref>
        </x14:conditionalFormatting>
        <x14:conditionalFormatting xmlns:xm="http://schemas.microsoft.com/office/excel/2006/main">
          <x14:cfRule type="expression" priority="506" id="{B56B33EC-2969-4DF0-A00D-D02090969873}">
            <xm:f>入力!$B$14+4&lt;27</xm:f>
            <x14:dxf>
              <fill>
                <patternFill patternType="mediumGray"/>
              </fill>
            </x14:dxf>
          </x14:cfRule>
          <xm:sqref>P12</xm:sqref>
        </x14:conditionalFormatting>
        <x14:conditionalFormatting xmlns:xm="http://schemas.microsoft.com/office/excel/2006/main">
          <x14:cfRule type="expression" priority="505" id="{BE5B24A9-9C6A-4108-B081-3B141CE48ADE}">
            <xm:f>入力!$B$14-3&lt;27</xm:f>
            <x14:dxf>
              <fill>
                <patternFill patternType="mediumGray"/>
              </fill>
            </x14:dxf>
          </x14:cfRule>
          <xm:sqref>I13</xm:sqref>
        </x14:conditionalFormatting>
        <x14:conditionalFormatting xmlns:xm="http://schemas.microsoft.com/office/excel/2006/main">
          <x14:cfRule type="expression" priority="504" id="{D06178DA-D747-4540-913F-82D4AABBE41F}">
            <xm:f>入力!$B$14-2&lt;27</xm:f>
            <x14:dxf>
              <fill>
                <patternFill patternType="mediumGray"/>
              </fill>
            </x14:dxf>
          </x14:cfRule>
          <xm:sqref>J13</xm:sqref>
        </x14:conditionalFormatting>
        <x14:conditionalFormatting xmlns:xm="http://schemas.microsoft.com/office/excel/2006/main">
          <x14:cfRule type="expression" priority="503" id="{DD6ED7A8-1DE7-440E-AC95-6F45DB5B03F8}">
            <xm:f>入力!$B$14-1&lt;27</xm:f>
            <x14:dxf>
              <fill>
                <patternFill patternType="mediumGray"/>
              </fill>
            </x14:dxf>
          </x14:cfRule>
          <xm:sqref>K13</xm:sqref>
        </x14:conditionalFormatting>
        <x14:conditionalFormatting xmlns:xm="http://schemas.microsoft.com/office/excel/2006/main">
          <x14:cfRule type="expression" priority="502" id="{8D567B6D-6C9C-4B4F-8B66-392146AD050C}">
            <xm:f>入力!$B$14&lt;27</xm:f>
            <x14:dxf>
              <fill>
                <patternFill patternType="mediumGray"/>
              </fill>
            </x14:dxf>
          </x14:cfRule>
          <xm:sqref>L13</xm:sqref>
        </x14:conditionalFormatting>
        <x14:conditionalFormatting xmlns:xm="http://schemas.microsoft.com/office/excel/2006/main">
          <x14:cfRule type="expression" priority="501" id="{8E5692D1-28BB-4C01-8DD2-3B3D9BF7192C}">
            <xm:f>入力!$B$14+1&lt;27</xm:f>
            <x14:dxf>
              <fill>
                <patternFill patternType="mediumGray"/>
              </fill>
            </x14:dxf>
          </x14:cfRule>
          <xm:sqref>M13</xm:sqref>
        </x14:conditionalFormatting>
        <x14:conditionalFormatting xmlns:xm="http://schemas.microsoft.com/office/excel/2006/main">
          <x14:cfRule type="expression" priority="500" id="{60FAB640-B73B-4FD1-8C2A-0F7AEA194EC0}">
            <xm:f>入力!$B$14+2&lt;27</xm:f>
            <x14:dxf>
              <fill>
                <patternFill patternType="mediumGray"/>
              </fill>
            </x14:dxf>
          </x14:cfRule>
          <xm:sqref>N13</xm:sqref>
        </x14:conditionalFormatting>
        <x14:conditionalFormatting xmlns:xm="http://schemas.microsoft.com/office/excel/2006/main">
          <x14:cfRule type="expression" priority="499" id="{CD6CA7E6-34CA-487E-BE09-1DA7E1A08051}">
            <xm:f>入力!$B$14+3&lt;27</xm:f>
            <x14:dxf>
              <fill>
                <patternFill patternType="mediumGray"/>
              </fill>
            </x14:dxf>
          </x14:cfRule>
          <xm:sqref>O13</xm:sqref>
        </x14:conditionalFormatting>
        <x14:conditionalFormatting xmlns:xm="http://schemas.microsoft.com/office/excel/2006/main">
          <x14:cfRule type="expression" priority="498" id="{84F98908-ED67-4766-94C7-06C1B154DA47}">
            <xm:f>入力!$B$14+4&lt;27</xm:f>
            <x14:dxf>
              <fill>
                <patternFill patternType="mediumGray"/>
              </fill>
            </x14:dxf>
          </x14:cfRule>
          <xm:sqref>P13</xm:sqref>
        </x14:conditionalFormatting>
        <x14:conditionalFormatting xmlns:xm="http://schemas.microsoft.com/office/excel/2006/main">
          <x14:cfRule type="expression" priority="497" id="{5C423448-D12E-4ED7-BA0D-D1B453679901}">
            <xm:f>入力!$B$14-3&lt;27</xm:f>
            <x14:dxf>
              <fill>
                <patternFill patternType="mediumGray"/>
              </fill>
            </x14:dxf>
          </x14:cfRule>
          <xm:sqref>I14</xm:sqref>
        </x14:conditionalFormatting>
        <x14:conditionalFormatting xmlns:xm="http://schemas.microsoft.com/office/excel/2006/main">
          <x14:cfRule type="expression" priority="496" id="{6C1D4F32-BA52-47B7-9F7E-45482E59E2D1}">
            <xm:f>入力!$B$14-2&lt;27</xm:f>
            <x14:dxf>
              <fill>
                <patternFill patternType="mediumGray"/>
              </fill>
            </x14:dxf>
          </x14:cfRule>
          <xm:sqref>J14</xm:sqref>
        </x14:conditionalFormatting>
        <x14:conditionalFormatting xmlns:xm="http://schemas.microsoft.com/office/excel/2006/main">
          <x14:cfRule type="expression" priority="495" id="{9DF212D3-B5C7-4EEE-A0DF-B523E8C31573}">
            <xm:f>入力!$B$14-1&lt;27</xm:f>
            <x14:dxf>
              <fill>
                <patternFill patternType="mediumGray"/>
              </fill>
            </x14:dxf>
          </x14:cfRule>
          <xm:sqref>K14</xm:sqref>
        </x14:conditionalFormatting>
        <x14:conditionalFormatting xmlns:xm="http://schemas.microsoft.com/office/excel/2006/main">
          <x14:cfRule type="expression" priority="494" id="{152FFE2C-E4D7-437E-A27E-C9F31B2581D0}">
            <xm:f>入力!$B$14&lt;27</xm:f>
            <x14:dxf>
              <fill>
                <patternFill patternType="mediumGray"/>
              </fill>
            </x14:dxf>
          </x14:cfRule>
          <xm:sqref>L14</xm:sqref>
        </x14:conditionalFormatting>
        <x14:conditionalFormatting xmlns:xm="http://schemas.microsoft.com/office/excel/2006/main">
          <x14:cfRule type="expression" priority="493" id="{C273BA9A-D81F-433D-9C99-0391635148DE}">
            <xm:f>入力!$B$14+1&lt;27</xm:f>
            <x14:dxf>
              <fill>
                <patternFill patternType="mediumGray"/>
              </fill>
            </x14:dxf>
          </x14:cfRule>
          <xm:sqref>M14</xm:sqref>
        </x14:conditionalFormatting>
        <x14:conditionalFormatting xmlns:xm="http://schemas.microsoft.com/office/excel/2006/main">
          <x14:cfRule type="expression" priority="492" id="{76B99DAD-36B6-442A-9524-1BEAB7F8EBD3}">
            <xm:f>入力!$B$14+2&lt;27</xm:f>
            <x14:dxf>
              <fill>
                <patternFill patternType="mediumGray"/>
              </fill>
            </x14:dxf>
          </x14:cfRule>
          <xm:sqref>N14</xm:sqref>
        </x14:conditionalFormatting>
        <x14:conditionalFormatting xmlns:xm="http://schemas.microsoft.com/office/excel/2006/main">
          <x14:cfRule type="expression" priority="491" id="{DBF7D286-6309-4370-AD3A-75E0314B9B3D}">
            <xm:f>入力!$B$14+3&lt;27</xm:f>
            <x14:dxf>
              <fill>
                <patternFill patternType="mediumGray"/>
              </fill>
            </x14:dxf>
          </x14:cfRule>
          <xm:sqref>O14</xm:sqref>
        </x14:conditionalFormatting>
        <x14:conditionalFormatting xmlns:xm="http://schemas.microsoft.com/office/excel/2006/main">
          <x14:cfRule type="expression" priority="490" id="{C12029E6-378E-493D-9AE0-0C5F6D0458A4}">
            <xm:f>入力!$B$14+4&lt;27</xm:f>
            <x14:dxf>
              <fill>
                <patternFill patternType="mediumGray"/>
              </fill>
            </x14:dxf>
          </x14:cfRule>
          <xm:sqref>P14</xm:sqref>
        </x14:conditionalFormatting>
        <x14:conditionalFormatting xmlns:xm="http://schemas.microsoft.com/office/excel/2006/main">
          <x14:cfRule type="expression" priority="489" id="{3BC7B18C-90FC-491A-BC5F-995875C1E7F4}">
            <xm:f>入力!$B$14-3&lt;27</xm:f>
            <x14:dxf>
              <fill>
                <patternFill patternType="mediumGray"/>
              </fill>
            </x14:dxf>
          </x14:cfRule>
          <xm:sqref>I15</xm:sqref>
        </x14:conditionalFormatting>
        <x14:conditionalFormatting xmlns:xm="http://schemas.microsoft.com/office/excel/2006/main">
          <x14:cfRule type="expression" priority="488" id="{54595467-6D95-4BB2-B87F-CA0A14B37702}">
            <xm:f>入力!$B$14-2&lt;27</xm:f>
            <x14:dxf>
              <fill>
                <patternFill patternType="mediumGray"/>
              </fill>
            </x14:dxf>
          </x14:cfRule>
          <xm:sqref>J15</xm:sqref>
        </x14:conditionalFormatting>
        <x14:conditionalFormatting xmlns:xm="http://schemas.microsoft.com/office/excel/2006/main">
          <x14:cfRule type="expression" priority="487" id="{FAD2632B-9560-4803-B659-38C3DAEF7E49}">
            <xm:f>入力!$B$14-1&lt;27</xm:f>
            <x14:dxf>
              <fill>
                <patternFill patternType="mediumGray"/>
              </fill>
            </x14:dxf>
          </x14:cfRule>
          <xm:sqref>K15</xm:sqref>
        </x14:conditionalFormatting>
        <x14:conditionalFormatting xmlns:xm="http://schemas.microsoft.com/office/excel/2006/main">
          <x14:cfRule type="expression" priority="486" id="{02DEC4C7-E3AA-4DE0-AED4-1A31A36A7E72}">
            <xm:f>入力!$B$14&lt;27</xm:f>
            <x14:dxf>
              <fill>
                <patternFill patternType="mediumGray"/>
              </fill>
            </x14:dxf>
          </x14:cfRule>
          <xm:sqref>L15</xm:sqref>
        </x14:conditionalFormatting>
        <x14:conditionalFormatting xmlns:xm="http://schemas.microsoft.com/office/excel/2006/main">
          <x14:cfRule type="expression" priority="485" id="{FD97B14A-B2CD-4B79-8D92-E666C460EA35}">
            <xm:f>入力!$B$14+1&lt;27</xm:f>
            <x14:dxf>
              <fill>
                <patternFill patternType="mediumGray"/>
              </fill>
            </x14:dxf>
          </x14:cfRule>
          <xm:sqref>M15</xm:sqref>
        </x14:conditionalFormatting>
        <x14:conditionalFormatting xmlns:xm="http://schemas.microsoft.com/office/excel/2006/main">
          <x14:cfRule type="expression" priority="484" id="{A599A134-F11A-411E-8075-C425E7BBCF8F}">
            <xm:f>入力!$B$14+2&lt;27</xm:f>
            <x14:dxf>
              <fill>
                <patternFill patternType="mediumGray"/>
              </fill>
            </x14:dxf>
          </x14:cfRule>
          <xm:sqref>N15</xm:sqref>
        </x14:conditionalFormatting>
        <x14:conditionalFormatting xmlns:xm="http://schemas.microsoft.com/office/excel/2006/main">
          <x14:cfRule type="expression" priority="483" id="{67BD04EF-9F0C-4E48-9615-DC4C46E6FE07}">
            <xm:f>入力!$B$14+3&lt;27</xm:f>
            <x14:dxf>
              <fill>
                <patternFill patternType="mediumGray"/>
              </fill>
            </x14:dxf>
          </x14:cfRule>
          <xm:sqref>O15</xm:sqref>
        </x14:conditionalFormatting>
        <x14:conditionalFormatting xmlns:xm="http://schemas.microsoft.com/office/excel/2006/main">
          <x14:cfRule type="expression" priority="482" id="{BF61B513-7EB1-4227-855D-023D4FF96EEA}">
            <xm:f>入力!$B$14+4&lt;27</xm:f>
            <x14:dxf>
              <fill>
                <patternFill patternType="mediumGray"/>
              </fill>
            </x14:dxf>
          </x14:cfRule>
          <xm:sqref>P15</xm:sqref>
        </x14:conditionalFormatting>
        <x14:conditionalFormatting xmlns:xm="http://schemas.microsoft.com/office/excel/2006/main">
          <x14:cfRule type="expression" priority="481" id="{B4B0AE94-B5C3-4C44-976E-C87A8FB95A82}">
            <xm:f>入力!$B$14-3&lt;27</xm:f>
            <x14:dxf>
              <fill>
                <patternFill patternType="mediumGray"/>
              </fill>
            </x14:dxf>
          </x14:cfRule>
          <xm:sqref>I16</xm:sqref>
        </x14:conditionalFormatting>
        <x14:conditionalFormatting xmlns:xm="http://schemas.microsoft.com/office/excel/2006/main">
          <x14:cfRule type="expression" priority="480" id="{F48BD83E-6739-4933-8686-E7245EB862FA}">
            <xm:f>入力!$B$14-2&lt;27</xm:f>
            <x14:dxf>
              <fill>
                <patternFill patternType="mediumGray"/>
              </fill>
            </x14:dxf>
          </x14:cfRule>
          <xm:sqref>J16</xm:sqref>
        </x14:conditionalFormatting>
        <x14:conditionalFormatting xmlns:xm="http://schemas.microsoft.com/office/excel/2006/main">
          <x14:cfRule type="expression" priority="479" id="{96A8A5C6-ADE7-4277-AF66-212FD609F138}">
            <xm:f>入力!$B$14-1&lt;27</xm:f>
            <x14:dxf>
              <fill>
                <patternFill patternType="mediumGray"/>
              </fill>
            </x14:dxf>
          </x14:cfRule>
          <xm:sqref>K16</xm:sqref>
        </x14:conditionalFormatting>
        <x14:conditionalFormatting xmlns:xm="http://schemas.microsoft.com/office/excel/2006/main">
          <x14:cfRule type="expression" priority="478" id="{F7BCD0A4-A8E4-4332-8743-4E4FB21F36D6}">
            <xm:f>入力!$B$14&lt;27</xm:f>
            <x14:dxf>
              <fill>
                <patternFill patternType="mediumGray"/>
              </fill>
            </x14:dxf>
          </x14:cfRule>
          <xm:sqref>L16</xm:sqref>
        </x14:conditionalFormatting>
        <x14:conditionalFormatting xmlns:xm="http://schemas.microsoft.com/office/excel/2006/main">
          <x14:cfRule type="expression" priority="477" id="{D3E230A4-E9EC-48A1-B21B-DAD2E1815FD9}">
            <xm:f>入力!$B$14+1&lt;27</xm:f>
            <x14:dxf>
              <fill>
                <patternFill patternType="mediumGray"/>
              </fill>
            </x14:dxf>
          </x14:cfRule>
          <xm:sqref>M16</xm:sqref>
        </x14:conditionalFormatting>
        <x14:conditionalFormatting xmlns:xm="http://schemas.microsoft.com/office/excel/2006/main">
          <x14:cfRule type="expression" priority="476" id="{6898EAD3-1A8B-41DA-AE34-9A0EB0D42672}">
            <xm:f>入力!$B$14+2&lt;27</xm:f>
            <x14:dxf>
              <fill>
                <patternFill patternType="mediumGray"/>
              </fill>
            </x14:dxf>
          </x14:cfRule>
          <xm:sqref>N16</xm:sqref>
        </x14:conditionalFormatting>
        <x14:conditionalFormatting xmlns:xm="http://schemas.microsoft.com/office/excel/2006/main">
          <x14:cfRule type="expression" priority="475" id="{68BDB2EF-E9C5-46DF-A752-F779D81B760E}">
            <xm:f>入力!$B$14+3&lt;27</xm:f>
            <x14:dxf>
              <fill>
                <patternFill patternType="mediumGray"/>
              </fill>
            </x14:dxf>
          </x14:cfRule>
          <xm:sqref>O16</xm:sqref>
        </x14:conditionalFormatting>
        <x14:conditionalFormatting xmlns:xm="http://schemas.microsoft.com/office/excel/2006/main">
          <x14:cfRule type="expression" priority="474" id="{7394CF33-F0D6-4185-9AEF-E6DEBEE87776}">
            <xm:f>入力!$B$14+4&lt;27</xm:f>
            <x14:dxf>
              <fill>
                <patternFill patternType="mediumGray"/>
              </fill>
            </x14:dxf>
          </x14:cfRule>
          <xm:sqref>P16</xm:sqref>
        </x14:conditionalFormatting>
        <x14:conditionalFormatting xmlns:xm="http://schemas.microsoft.com/office/excel/2006/main">
          <x14:cfRule type="expression" priority="473" id="{483809EA-37BE-488E-9230-1753E1B4B36B}">
            <xm:f>入力!$B$14-3&lt;27</xm:f>
            <x14:dxf>
              <fill>
                <patternFill patternType="mediumGray"/>
              </fill>
            </x14:dxf>
          </x14:cfRule>
          <xm:sqref>I17</xm:sqref>
        </x14:conditionalFormatting>
        <x14:conditionalFormatting xmlns:xm="http://schemas.microsoft.com/office/excel/2006/main">
          <x14:cfRule type="expression" priority="472" id="{67730864-D046-4014-B48D-CC71D0096B7B}">
            <xm:f>入力!$B$14-2&lt;27</xm:f>
            <x14:dxf>
              <fill>
                <patternFill patternType="mediumGray"/>
              </fill>
            </x14:dxf>
          </x14:cfRule>
          <xm:sqref>J17</xm:sqref>
        </x14:conditionalFormatting>
        <x14:conditionalFormatting xmlns:xm="http://schemas.microsoft.com/office/excel/2006/main">
          <x14:cfRule type="expression" priority="471" id="{1FE519B4-AB2E-4786-AD4E-C08D0FC3AC38}">
            <xm:f>入力!$B$14-1&lt;27</xm:f>
            <x14:dxf>
              <fill>
                <patternFill patternType="mediumGray"/>
              </fill>
            </x14:dxf>
          </x14:cfRule>
          <xm:sqref>K17</xm:sqref>
        </x14:conditionalFormatting>
        <x14:conditionalFormatting xmlns:xm="http://schemas.microsoft.com/office/excel/2006/main">
          <x14:cfRule type="expression" priority="470" id="{C977B3D6-9A0A-4DA0-96D5-DDB619884F75}">
            <xm:f>入力!$B$14&lt;27</xm:f>
            <x14:dxf>
              <fill>
                <patternFill patternType="mediumGray"/>
              </fill>
            </x14:dxf>
          </x14:cfRule>
          <xm:sqref>L17</xm:sqref>
        </x14:conditionalFormatting>
        <x14:conditionalFormatting xmlns:xm="http://schemas.microsoft.com/office/excel/2006/main">
          <x14:cfRule type="expression" priority="469" id="{EC884BC8-5638-4AD6-A96A-947B3B0FCFF3}">
            <xm:f>入力!$B$14+1&lt;27</xm:f>
            <x14:dxf>
              <fill>
                <patternFill patternType="mediumGray"/>
              </fill>
            </x14:dxf>
          </x14:cfRule>
          <xm:sqref>M17</xm:sqref>
        </x14:conditionalFormatting>
        <x14:conditionalFormatting xmlns:xm="http://schemas.microsoft.com/office/excel/2006/main">
          <x14:cfRule type="expression" priority="468" id="{7BCCC680-12C5-4003-B762-8B297574A214}">
            <xm:f>入力!$B$14+2&lt;27</xm:f>
            <x14:dxf>
              <fill>
                <patternFill patternType="mediumGray"/>
              </fill>
            </x14:dxf>
          </x14:cfRule>
          <xm:sqref>N17</xm:sqref>
        </x14:conditionalFormatting>
        <x14:conditionalFormatting xmlns:xm="http://schemas.microsoft.com/office/excel/2006/main">
          <x14:cfRule type="expression" priority="467" id="{0FB0EA41-12C0-4C6B-8C36-64E3648D4F50}">
            <xm:f>入力!$B$14+3&lt;27</xm:f>
            <x14:dxf>
              <fill>
                <patternFill patternType="mediumGray"/>
              </fill>
            </x14:dxf>
          </x14:cfRule>
          <xm:sqref>O17</xm:sqref>
        </x14:conditionalFormatting>
        <x14:conditionalFormatting xmlns:xm="http://schemas.microsoft.com/office/excel/2006/main">
          <x14:cfRule type="expression" priority="466" id="{23FEC818-0311-48C6-942B-C2793D82FEE9}">
            <xm:f>入力!$B$14+4&lt;27</xm:f>
            <x14:dxf>
              <fill>
                <patternFill patternType="mediumGray"/>
              </fill>
            </x14:dxf>
          </x14:cfRule>
          <xm:sqref>P17</xm:sqref>
        </x14:conditionalFormatting>
        <x14:conditionalFormatting xmlns:xm="http://schemas.microsoft.com/office/excel/2006/main">
          <x14:cfRule type="expression" priority="465" id="{5774F49C-E891-4A7E-B76E-94D376EDFDB0}">
            <xm:f>入力!$B$14-3&lt;27</xm:f>
            <x14:dxf>
              <fill>
                <patternFill patternType="mediumGray"/>
              </fill>
            </x14:dxf>
          </x14:cfRule>
          <xm:sqref>I18</xm:sqref>
        </x14:conditionalFormatting>
        <x14:conditionalFormatting xmlns:xm="http://schemas.microsoft.com/office/excel/2006/main">
          <x14:cfRule type="expression" priority="464" id="{1499B8F5-2F69-4C42-B3A1-B6147EC3FEA6}">
            <xm:f>入力!$B$14-2&lt;27</xm:f>
            <x14:dxf>
              <fill>
                <patternFill patternType="mediumGray"/>
              </fill>
            </x14:dxf>
          </x14:cfRule>
          <xm:sqref>J18</xm:sqref>
        </x14:conditionalFormatting>
        <x14:conditionalFormatting xmlns:xm="http://schemas.microsoft.com/office/excel/2006/main">
          <x14:cfRule type="expression" priority="463" id="{E80419A3-8D90-46AD-BC09-0A2537B539D8}">
            <xm:f>入力!$B$14-1&lt;27</xm:f>
            <x14:dxf>
              <fill>
                <patternFill patternType="mediumGray"/>
              </fill>
            </x14:dxf>
          </x14:cfRule>
          <xm:sqref>K18</xm:sqref>
        </x14:conditionalFormatting>
        <x14:conditionalFormatting xmlns:xm="http://schemas.microsoft.com/office/excel/2006/main">
          <x14:cfRule type="expression" priority="462" id="{16B1F0B6-0F7A-4005-A891-10401138D21D}">
            <xm:f>入力!$B$14&lt;27</xm:f>
            <x14:dxf>
              <fill>
                <patternFill patternType="mediumGray"/>
              </fill>
            </x14:dxf>
          </x14:cfRule>
          <xm:sqref>L18</xm:sqref>
        </x14:conditionalFormatting>
        <x14:conditionalFormatting xmlns:xm="http://schemas.microsoft.com/office/excel/2006/main">
          <x14:cfRule type="expression" priority="461" id="{88E9CCD7-8B91-45FC-8672-0621CF6E7451}">
            <xm:f>入力!$B$14+1&lt;27</xm:f>
            <x14:dxf>
              <fill>
                <patternFill patternType="mediumGray"/>
              </fill>
            </x14:dxf>
          </x14:cfRule>
          <xm:sqref>M18</xm:sqref>
        </x14:conditionalFormatting>
        <x14:conditionalFormatting xmlns:xm="http://schemas.microsoft.com/office/excel/2006/main">
          <x14:cfRule type="expression" priority="460" id="{FEF6568D-42F2-43D0-A167-1A2E98A58790}">
            <xm:f>入力!$B$14+2&lt;27</xm:f>
            <x14:dxf>
              <fill>
                <patternFill patternType="mediumGray"/>
              </fill>
            </x14:dxf>
          </x14:cfRule>
          <xm:sqref>N18</xm:sqref>
        </x14:conditionalFormatting>
        <x14:conditionalFormatting xmlns:xm="http://schemas.microsoft.com/office/excel/2006/main">
          <x14:cfRule type="expression" priority="459" id="{1B394F8E-5D7B-4E09-BFCF-3D2C3935F4CF}">
            <xm:f>入力!$B$14+3&lt;27</xm:f>
            <x14:dxf>
              <fill>
                <patternFill patternType="mediumGray"/>
              </fill>
            </x14:dxf>
          </x14:cfRule>
          <xm:sqref>O18</xm:sqref>
        </x14:conditionalFormatting>
        <x14:conditionalFormatting xmlns:xm="http://schemas.microsoft.com/office/excel/2006/main">
          <x14:cfRule type="expression" priority="458" id="{040ACA4E-6A2E-46E8-804F-B4AEF206C854}">
            <xm:f>入力!$B$14+4&lt;27</xm:f>
            <x14:dxf>
              <fill>
                <patternFill patternType="mediumGray"/>
              </fill>
            </x14:dxf>
          </x14:cfRule>
          <xm:sqref>P18</xm:sqref>
        </x14:conditionalFormatting>
        <x14:conditionalFormatting xmlns:xm="http://schemas.microsoft.com/office/excel/2006/main">
          <x14:cfRule type="expression" priority="457" id="{04832ACB-7596-4474-BDBF-94547ED110CC}">
            <xm:f>入力!$B$14-3&lt;27</xm:f>
            <x14:dxf>
              <fill>
                <patternFill patternType="mediumGray"/>
              </fill>
            </x14:dxf>
          </x14:cfRule>
          <xm:sqref>I19</xm:sqref>
        </x14:conditionalFormatting>
        <x14:conditionalFormatting xmlns:xm="http://schemas.microsoft.com/office/excel/2006/main">
          <x14:cfRule type="expression" priority="456" id="{F6773924-4EB8-4121-8205-7AD034480E16}">
            <xm:f>入力!$B$14-2&lt;27</xm:f>
            <x14:dxf>
              <fill>
                <patternFill patternType="mediumGray"/>
              </fill>
            </x14:dxf>
          </x14:cfRule>
          <xm:sqref>J19</xm:sqref>
        </x14:conditionalFormatting>
        <x14:conditionalFormatting xmlns:xm="http://schemas.microsoft.com/office/excel/2006/main">
          <x14:cfRule type="expression" priority="455" id="{7311243D-154D-4132-8083-E1DD30DD529D}">
            <xm:f>入力!$B$14-1&lt;27</xm:f>
            <x14:dxf>
              <fill>
                <patternFill patternType="mediumGray"/>
              </fill>
            </x14:dxf>
          </x14:cfRule>
          <xm:sqref>K19</xm:sqref>
        </x14:conditionalFormatting>
        <x14:conditionalFormatting xmlns:xm="http://schemas.microsoft.com/office/excel/2006/main">
          <x14:cfRule type="expression" priority="454" id="{3BD82D29-B7DB-4C69-8C29-83469C7551D1}">
            <xm:f>入力!$B$14&lt;27</xm:f>
            <x14:dxf>
              <fill>
                <patternFill patternType="mediumGray"/>
              </fill>
            </x14:dxf>
          </x14:cfRule>
          <xm:sqref>L19</xm:sqref>
        </x14:conditionalFormatting>
        <x14:conditionalFormatting xmlns:xm="http://schemas.microsoft.com/office/excel/2006/main">
          <x14:cfRule type="expression" priority="453" id="{07B05B65-E100-427C-9EF0-13FF940FE901}">
            <xm:f>入力!$B$14+1&lt;27</xm:f>
            <x14:dxf>
              <fill>
                <patternFill patternType="mediumGray"/>
              </fill>
            </x14:dxf>
          </x14:cfRule>
          <xm:sqref>M19</xm:sqref>
        </x14:conditionalFormatting>
        <x14:conditionalFormatting xmlns:xm="http://schemas.microsoft.com/office/excel/2006/main">
          <x14:cfRule type="expression" priority="452" id="{83649BE0-4A5A-418A-BB55-93D2F2286D49}">
            <xm:f>入力!$B$14+2&lt;27</xm:f>
            <x14:dxf>
              <fill>
                <patternFill patternType="mediumGray"/>
              </fill>
            </x14:dxf>
          </x14:cfRule>
          <xm:sqref>N19</xm:sqref>
        </x14:conditionalFormatting>
        <x14:conditionalFormatting xmlns:xm="http://schemas.microsoft.com/office/excel/2006/main">
          <x14:cfRule type="expression" priority="451" id="{342E6F55-E17B-4366-80E2-616667ACF70E}">
            <xm:f>入力!$B$14+3&lt;27</xm:f>
            <x14:dxf>
              <fill>
                <patternFill patternType="mediumGray"/>
              </fill>
            </x14:dxf>
          </x14:cfRule>
          <xm:sqref>O19</xm:sqref>
        </x14:conditionalFormatting>
        <x14:conditionalFormatting xmlns:xm="http://schemas.microsoft.com/office/excel/2006/main">
          <x14:cfRule type="expression" priority="450" id="{736A667A-8D45-498C-9422-FB9D86CA812F}">
            <xm:f>入力!$B$14+4&lt;27</xm:f>
            <x14:dxf>
              <fill>
                <patternFill patternType="mediumGray"/>
              </fill>
            </x14:dxf>
          </x14:cfRule>
          <xm:sqref>P19</xm:sqref>
        </x14:conditionalFormatting>
        <x14:conditionalFormatting xmlns:xm="http://schemas.microsoft.com/office/excel/2006/main">
          <x14:cfRule type="expression" priority="449" id="{4067465C-1803-4E0E-92D3-69DDE5AD33BC}">
            <xm:f>入力!$B$14-3&lt;27</xm:f>
            <x14:dxf>
              <fill>
                <patternFill patternType="mediumGray"/>
              </fill>
            </x14:dxf>
          </x14:cfRule>
          <xm:sqref>I20</xm:sqref>
        </x14:conditionalFormatting>
        <x14:conditionalFormatting xmlns:xm="http://schemas.microsoft.com/office/excel/2006/main">
          <x14:cfRule type="expression" priority="448" id="{BD575BF6-4176-480E-A6AC-5895B8E3A8C6}">
            <xm:f>入力!$B$14-2&lt;27</xm:f>
            <x14:dxf>
              <fill>
                <patternFill patternType="mediumGray"/>
              </fill>
            </x14:dxf>
          </x14:cfRule>
          <xm:sqref>J20</xm:sqref>
        </x14:conditionalFormatting>
        <x14:conditionalFormatting xmlns:xm="http://schemas.microsoft.com/office/excel/2006/main">
          <x14:cfRule type="expression" priority="447" id="{B3176426-20BB-4EC5-98B5-2F766F1F24E1}">
            <xm:f>入力!$B$14-1&lt;27</xm:f>
            <x14:dxf>
              <fill>
                <patternFill patternType="mediumGray"/>
              </fill>
            </x14:dxf>
          </x14:cfRule>
          <xm:sqref>K20</xm:sqref>
        </x14:conditionalFormatting>
        <x14:conditionalFormatting xmlns:xm="http://schemas.microsoft.com/office/excel/2006/main">
          <x14:cfRule type="expression" priority="446" id="{70BB4ED4-3A16-491E-9465-BD2D7CE223C9}">
            <xm:f>入力!$B$14&lt;27</xm:f>
            <x14:dxf>
              <fill>
                <patternFill patternType="mediumGray"/>
              </fill>
            </x14:dxf>
          </x14:cfRule>
          <xm:sqref>L20</xm:sqref>
        </x14:conditionalFormatting>
        <x14:conditionalFormatting xmlns:xm="http://schemas.microsoft.com/office/excel/2006/main">
          <x14:cfRule type="expression" priority="445" id="{B03EC428-B8CA-4AEB-9122-C3E71877747A}">
            <xm:f>入力!$B$14+1&lt;27</xm:f>
            <x14:dxf>
              <fill>
                <patternFill patternType="mediumGray"/>
              </fill>
            </x14:dxf>
          </x14:cfRule>
          <xm:sqref>M20</xm:sqref>
        </x14:conditionalFormatting>
        <x14:conditionalFormatting xmlns:xm="http://schemas.microsoft.com/office/excel/2006/main">
          <x14:cfRule type="expression" priority="444" id="{2AD13F09-F1A4-4008-B9B0-F1A9B3FB2F99}">
            <xm:f>入力!$B$14+2&lt;27</xm:f>
            <x14:dxf>
              <fill>
                <patternFill patternType="mediumGray"/>
              </fill>
            </x14:dxf>
          </x14:cfRule>
          <xm:sqref>N20</xm:sqref>
        </x14:conditionalFormatting>
        <x14:conditionalFormatting xmlns:xm="http://schemas.microsoft.com/office/excel/2006/main">
          <x14:cfRule type="expression" priority="443" id="{F0B58D6C-AF93-4A54-B9A1-CFE6AC6ECC9A}">
            <xm:f>入力!$B$14+3&lt;27</xm:f>
            <x14:dxf>
              <fill>
                <patternFill patternType="mediumGray"/>
              </fill>
            </x14:dxf>
          </x14:cfRule>
          <xm:sqref>O20</xm:sqref>
        </x14:conditionalFormatting>
        <x14:conditionalFormatting xmlns:xm="http://schemas.microsoft.com/office/excel/2006/main">
          <x14:cfRule type="expression" priority="442" id="{CC9873BE-E8F6-4A09-A6DC-51CFA869B81C}">
            <xm:f>入力!$B$14+4&lt;27</xm:f>
            <x14:dxf>
              <fill>
                <patternFill patternType="mediumGray"/>
              </fill>
            </x14:dxf>
          </x14:cfRule>
          <xm:sqref>P20</xm:sqref>
        </x14:conditionalFormatting>
        <x14:conditionalFormatting xmlns:xm="http://schemas.microsoft.com/office/excel/2006/main">
          <x14:cfRule type="expression" priority="441" id="{C7D85CBF-B10F-402E-846F-DCF69E78CDEC}">
            <xm:f>入力!$B$14-3&lt;27</xm:f>
            <x14:dxf>
              <fill>
                <patternFill patternType="mediumGray"/>
              </fill>
            </x14:dxf>
          </x14:cfRule>
          <xm:sqref>I21</xm:sqref>
        </x14:conditionalFormatting>
        <x14:conditionalFormatting xmlns:xm="http://schemas.microsoft.com/office/excel/2006/main">
          <x14:cfRule type="expression" priority="440" id="{F2E1BBE2-BCF6-411A-9A1D-253D5A9FFB5C}">
            <xm:f>入力!$B$14-2&lt;27</xm:f>
            <x14:dxf>
              <fill>
                <patternFill patternType="mediumGray"/>
              </fill>
            </x14:dxf>
          </x14:cfRule>
          <xm:sqref>J21</xm:sqref>
        </x14:conditionalFormatting>
        <x14:conditionalFormatting xmlns:xm="http://schemas.microsoft.com/office/excel/2006/main">
          <x14:cfRule type="expression" priority="439" id="{2C126850-D084-4969-967E-038333C7A7B0}">
            <xm:f>入力!$B$14-1&lt;27</xm:f>
            <x14:dxf>
              <fill>
                <patternFill patternType="mediumGray"/>
              </fill>
            </x14:dxf>
          </x14:cfRule>
          <xm:sqref>K21</xm:sqref>
        </x14:conditionalFormatting>
        <x14:conditionalFormatting xmlns:xm="http://schemas.microsoft.com/office/excel/2006/main">
          <x14:cfRule type="expression" priority="438" id="{3970B7D1-06BD-4DAF-9DFC-373104F6D790}">
            <xm:f>入力!$B$14&lt;27</xm:f>
            <x14:dxf>
              <fill>
                <patternFill patternType="mediumGray"/>
              </fill>
            </x14:dxf>
          </x14:cfRule>
          <xm:sqref>L21</xm:sqref>
        </x14:conditionalFormatting>
        <x14:conditionalFormatting xmlns:xm="http://schemas.microsoft.com/office/excel/2006/main">
          <x14:cfRule type="expression" priority="437" id="{0C2A3C29-A70D-4E23-866E-621491CCF0C3}">
            <xm:f>入力!$B$14+1&lt;27</xm:f>
            <x14:dxf>
              <fill>
                <patternFill patternType="mediumGray"/>
              </fill>
            </x14:dxf>
          </x14:cfRule>
          <xm:sqref>M21</xm:sqref>
        </x14:conditionalFormatting>
        <x14:conditionalFormatting xmlns:xm="http://schemas.microsoft.com/office/excel/2006/main">
          <x14:cfRule type="expression" priority="436" id="{C7DA1093-F1A3-47D2-9B36-7241842DA1D1}">
            <xm:f>入力!$B$14+2&lt;27</xm:f>
            <x14:dxf>
              <fill>
                <patternFill patternType="mediumGray"/>
              </fill>
            </x14:dxf>
          </x14:cfRule>
          <xm:sqref>N21</xm:sqref>
        </x14:conditionalFormatting>
        <x14:conditionalFormatting xmlns:xm="http://schemas.microsoft.com/office/excel/2006/main">
          <x14:cfRule type="expression" priority="435" id="{D0108E1B-EF8C-4DF8-98C5-6F2F7375CB13}">
            <xm:f>入力!$B$14+3&lt;27</xm:f>
            <x14:dxf>
              <fill>
                <patternFill patternType="mediumGray"/>
              </fill>
            </x14:dxf>
          </x14:cfRule>
          <xm:sqref>O21</xm:sqref>
        </x14:conditionalFormatting>
        <x14:conditionalFormatting xmlns:xm="http://schemas.microsoft.com/office/excel/2006/main">
          <x14:cfRule type="expression" priority="434" id="{48A85E7F-FAF8-4B96-B217-3A45FA36B8C8}">
            <xm:f>入力!$B$14+4&lt;27</xm:f>
            <x14:dxf>
              <fill>
                <patternFill patternType="mediumGray"/>
              </fill>
            </x14:dxf>
          </x14:cfRule>
          <xm:sqref>P21</xm:sqref>
        </x14:conditionalFormatting>
        <x14:conditionalFormatting xmlns:xm="http://schemas.microsoft.com/office/excel/2006/main">
          <x14:cfRule type="expression" priority="433" id="{9A8B69E4-D934-4964-95B5-CB5ED1D73A0D}">
            <xm:f>入力!$B$14-3&lt;27</xm:f>
            <x14:dxf>
              <fill>
                <patternFill patternType="mediumGray"/>
              </fill>
            </x14:dxf>
          </x14:cfRule>
          <xm:sqref>I22</xm:sqref>
        </x14:conditionalFormatting>
        <x14:conditionalFormatting xmlns:xm="http://schemas.microsoft.com/office/excel/2006/main">
          <x14:cfRule type="expression" priority="432" id="{2B13547A-EF05-43B4-8A3D-4B38119223E8}">
            <xm:f>入力!$B$14-2&lt;27</xm:f>
            <x14:dxf>
              <fill>
                <patternFill patternType="mediumGray"/>
              </fill>
            </x14:dxf>
          </x14:cfRule>
          <xm:sqref>J22</xm:sqref>
        </x14:conditionalFormatting>
        <x14:conditionalFormatting xmlns:xm="http://schemas.microsoft.com/office/excel/2006/main">
          <x14:cfRule type="expression" priority="431" id="{2AF03A93-0266-4B4D-8054-EE90DD0633AE}">
            <xm:f>入力!$B$14-1&lt;27</xm:f>
            <x14:dxf>
              <fill>
                <patternFill patternType="mediumGray"/>
              </fill>
            </x14:dxf>
          </x14:cfRule>
          <xm:sqref>K22</xm:sqref>
        </x14:conditionalFormatting>
        <x14:conditionalFormatting xmlns:xm="http://schemas.microsoft.com/office/excel/2006/main">
          <x14:cfRule type="expression" priority="430" id="{8733A9C1-B090-4771-837A-FFEEF4C67169}">
            <xm:f>入力!$B$14&lt;27</xm:f>
            <x14:dxf>
              <fill>
                <patternFill patternType="mediumGray"/>
              </fill>
            </x14:dxf>
          </x14:cfRule>
          <xm:sqref>L22</xm:sqref>
        </x14:conditionalFormatting>
        <x14:conditionalFormatting xmlns:xm="http://schemas.microsoft.com/office/excel/2006/main">
          <x14:cfRule type="expression" priority="429" id="{B21AE3A6-5162-4385-A8EB-226405EAFEFA}">
            <xm:f>入力!$B$14+1&lt;27</xm:f>
            <x14:dxf>
              <fill>
                <patternFill patternType="mediumGray"/>
              </fill>
            </x14:dxf>
          </x14:cfRule>
          <xm:sqref>M22</xm:sqref>
        </x14:conditionalFormatting>
        <x14:conditionalFormatting xmlns:xm="http://schemas.microsoft.com/office/excel/2006/main">
          <x14:cfRule type="expression" priority="428" id="{595E0374-4DDB-4082-8104-115E48B49A5B}">
            <xm:f>入力!$B$14+2&lt;27</xm:f>
            <x14:dxf>
              <fill>
                <patternFill patternType="mediumGray"/>
              </fill>
            </x14:dxf>
          </x14:cfRule>
          <xm:sqref>N22</xm:sqref>
        </x14:conditionalFormatting>
        <x14:conditionalFormatting xmlns:xm="http://schemas.microsoft.com/office/excel/2006/main">
          <x14:cfRule type="expression" priority="427" id="{4FCC5779-6BEB-4D95-8C18-4108EC24F6FF}">
            <xm:f>入力!$B$14+3&lt;27</xm:f>
            <x14:dxf>
              <fill>
                <patternFill patternType="mediumGray"/>
              </fill>
            </x14:dxf>
          </x14:cfRule>
          <xm:sqref>O22</xm:sqref>
        </x14:conditionalFormatting>
        <x14:conditionalFormatting xmlns:xm="http://schemas.microsoft.com/office/excel/2006/main">
          <x14:cfRule type="expression" priority="426" id="{81B86ECE-097F-41C5-9853-4D7F754618A2}">
            <xm:f>入力!$B$14+4&lt;27</xm:f>
            <x14:dxf>
              <fill>
                <patternFill patternType="mediumGray"/>
              </fill>
            </x14:dxf>
          </x14:cfRule>
          <xm:sqref>P22</xm:sqref>
        </x14:conditionalFormatting>
        <x14:conditionalFormatting xmlns:xm="http://schemas.microsoft.com/office/excel/2006/main">
          <x14:cfRule type="expression" priority="425" id="{54580EF3-3AA7-4414-A995-7C3EEDA99646}">
            <xm:f>入力!$B$14-3&lt;27</xm:f>
            <x14:dxf>
              <fill>
                <patternFill patternType="mediumGray"/>
              </fill>
            </x14:dxf>
          </x14:cfRule>
          <xm:sqref>I23</xm:sqref>
        </x14:conditionalFormatting>
        <x14:conditionalFormatting xmlns:xm="http://schemas.microsoft.com/office/excel/2006/main">
          <x14:cfRule type="expression" priority="424" id="{A81491F6-CC4B-423E-B8DE-5ECEDF5E606F}">
            <xm:f>入力!$B$14-2&lt;27</xm:f>
            <x14:dxf>
              <fill>
                <patternFill patternType="mediumGray"/>
              </fill>
            </x14:dxf>
          </x14:cfRule>
          <xm:sqref>J23</xm:sqref>
        </x14:conditionalFormatting>
        <x14:conditionalFormatting xmlns:xm="http://schemas.microsoft.com/office/excel/2006/main">
          <x14:cfRule type="expression" priority="423" id="{D298D899-9EAB-44C8-8138-1CA1E0696D47}">
            <xm:f>入力!$B$14-1&lt;27</xm:f>
            <x14:dxf>
              <fill>
                <patternFill patternType="mediumGray"/>
              </fill>
            </x14:dxf>
          </x14:cfRule>
          <xm:sqref>K23</xm:sqref>
        </x14:conditionalFormatting>
        <x14:conditionalFormatting xmlns:xm="http://schemas.microsoft.com/office/excel/2006/main">
          <x14:cfRule type="expression" priority="422" id="{E7F40BC4-FC18-42FF-9B86-7ED194ADDC44}">
            <xm:f>入力!$B$14&lt;27</xm:f>
            <x14:dxf>
              <fill>
                <patternFill patternType="mediumGray"/>
              </fill>
            </x14:dxf>
          </x14:cfRule>
          <xm:sqref>L23</xm:sqref>
        </x14:conditionalFormatting>
        <x14:conditionalFormatting xmlns:xm="http://schemas.microsoft.com/office/excel/2006/main">
          <x14:cfRule type="expression" priority="421" id="{F42AEAC8-8205-4443-92A3-246D8E15338B}">
            <xm:f>入力!$B$14+1&lt;27</xm:f>
            <x14:dxf>
              <fill>
                <patternFill patternType="mediumGray"/>
              </fill>
            </x14:dxf>
          </x14:cfRule>
          <xm:sqref>M23</xm:sqref>
        </x14:conditionalFormatting>
        <x14:conditionalFormatting xmlns:xm="http://schemas.microsoft.com/office/excel/2006/main">
          <x14:cfRule type="expression" priority="420" id="{742AC9BE-3924-489A-8535-87FC5EF64DF3}">
            <xm:f>入力!$B$14+2&lt;27</xm:f>
            <x14:dxf>
              <fill>
                <patternFill patternType="mediumGray"/>
              </fill>
            </x14:dxf>
          </x14:cfRule>
          <xm:sqref>N23</xm:sqref>
        </x14:conditionalFormatting>
        <x14:conditionalFormatting xmlns:xm="http://schemas.microsoft.com/office/excel/2006/main">
          <x14:cfRule type="expression" priority="419" id="{7F69A494-5603-40E2-943C-E5414CCE8269}">
            <xm:f>入力!$B$14+3&lt;27</xm:f>
            <x14:dxf>
              <fill>
                <patternFill patternType="mediumGray"/>
              </fill>
            </x14:dxf>
          </x14:cfRule>
          <xm:sqref>O23</xm:sqref>
        </x14:conditionalFormatting>
        <x14:conditionalFormatting xmlns:xm="http://schemas.microsoft.com/office/excel/2006/main">
          <x14:cfRule type="expression" priority="418" id="{FE0568C4-DD7D-486C-AC81-8552FDBF188D}">
            <xm:f>入力!$B$14+4&lt;27</xm:f>
            <x14:dxf>
              <fill>
                <patternFill patternType="mediumGray"/>
              </fill>
            </x14:dxf>
          </x14:cfRule>
          <xm:sqref>P23</xm:sqref>
        </x14:conditionalFormatting>
        <x14:conditionalFormatting xmlns:xm="http://schemas.microsoft.com/office/excel/2006/main">
          <x14:cfRule type="expression" priority="417" id="{EAC863A3-3DC8-4814-A3C6-FD03EB31F16A}">
            <xm:f>入力!$B$14-3&lt;27</xm:f>
            <x14:dxf>
              <fill>
                <patternFill patternType="mediumGray"/>
              </fill>
            </x14:dxf>
          </x14:cfRule>
          <xm:sqref>I24</xm:sqref>
        </x14:conditionalFormatting>
        <x14:conditionalFormatting xmlns:xm="http://schemas.microsoft.com/office/excel/2006/main">
          <x14:cfRule type="expression" priority="416" id="{03841167-C1DF-447F-9EF4-98BFAEB334DB}">
            <xm:f>入力!$B$14-2&lt;27</xm:f>
            <x14:dxf>
              <fill>
                <patternFill patternType="mediumGray"/>
              </fill>
            </x14:dxf>
          </x14:cfRule>
          <xm:sqref>J24</xm:sqref>
        </x14:conditionalFormatting>
        <x14:conditionalFormatting xmlns:xm="http://schemas.microsoft.com/office/excel/2006/main">
          <x14:cfRule type="expression" priority="415" id="{C3EBF744-58EA-4DC1-A05F-0E9A980ABD7C}">
            <xm:f>入力!$B$14-1&lt;27</xm:f>
            <x14:dxf>
              <fill>
                <patternFill patternType="mediumGray"/>
              </fill>
            </x14:dxf>
          </x14:cfRule>
          <xm:sqref>K24</xm:sqref>
        </x14:conditionalFormatting>
        <x14:conditionalFormatting xmlns:xm="http://schemas.microsoft.com/office/excel/2006/main">
          <x14:cfRule type="expression" priority="414" id="{6ABA7104-1769-4618-B51F-1786E85EBAB5}">
            <xm:f>入力!$B$14&lt;27</xm:f>
            <x14:dxf>
              <fill>
                <patternFill patternType="mediumGray"/>
              </fill>
            </x14:dxf>
          </x14:cfRule>
          <xm:sqref>L24</xm:sqref>
        </x14:conditionalFormatting>
        <x14:conditionalFormatting xmlns:xm="http://schemas.microsoft.com/office/excel/2006/main">
          <x14:cfRule type="expression" priority="413" id="{0207BE28-9772-473F-A991-825892361F97}">
            <xm:f>入力!$B$14+1&lt;27</xm:f>
            <x14:dxf>
              <fill>
                <patternFill patternType="mediumGray"/>
              </fill>
            </x14:dxf>
          </x14:cfRule>
          <xm:sqref>M24</xm:sqref>
        </x14:conditionalFormatting>
        <x14:conditionalFormatting xmlns:xm="http://schemas.microsoft.com/office/excel/2006/main">
          <x14:cfRule type="expression" priority="412" id="{48F97AC9-3F76-4071-809A-C57417CD2B9E}">
            <xm:f>入力!$B$14+2&lt;27</xm:f>
            <x14:dxf>
              <fill>
                <patternFill patternType="mediumGray"/>
              </fill>
            </x14:dxf>
          </x14:cfRule>
          <xm:sqref>N24</xm:sqref>
        </x14:conditionalFormatting>
        <x14:conditionalFormatting xmlns:xm="http://schemas.microsoft.com/office/excel/2006/main">
          <x14:cfRule type="expression" priority="411" id="{8A9A432E-6AB9-4FF3-99F3-93A8F7E15F2F}">
            <xm:f>入力!$B$14+3&lt;27</xm:f>
            <x14:dxf>
              <fill>
                <patternFill patternType="mediumGray"/>
              </fill>
            </x14:dxf>
          </x14:cfRule>
          <xm:sqref>O24</xm:sqref>
        </x14:conditionalFormatting>
        <x14:conditionalFormatting xmlns:xm="http://schemas.microsoft.com/office/excel/2006/main">
          <x14:cfRule type="expression" priority="410" id="{6AA7B71B-D9B4-48D0-B5AC-CB71BA48AD70}">
            <xm:f>入力!$B$14+4&lt;27</xm:f>
            <x14:dxf>
              <fill>
                <patternFill patternType="mediumGray"/>
              </fill>
            </x14:dxf>
          </x14:cfRule>
          <xm:sqref>P24</xm:sqref>
        </x14:conditionalFormatting>
        <x14:conditionalFormatting xmlns:xm="http://schemas.microsoft.com/office/excel/2006/main">
          <x14:cfRule type="expression" priority="409" id="{748C3FC3-6CF9-45CC-8634-0D404647B2A4}">
            <xm:f>入力!$B$14-3&lt;27</xm:f>
            <x14:dxf>
              <fill>
                <patternFill patternType="mediumGray"/>
              </fill>
            </x14:dxf>
          </x14:cfRule>
          <xm:sqref>I25</xm:sqref>
        </x14:conditionalFormatting>
        <x14:conditionalFormatting xmlns:xm="http://schemas.microsoft.com/office/excel/2006/main">
          <x14:cfRule type="expression" priority="408" id="{9B8F6125-9484-4A82-8B18-141B0C8065F0}">
            <xm:f>入力!$B$14-2&lt;27</xm:f>
            <x14:dxf>
              <fill>
                <patternFill patternType="mediumGray"/>
              </fill>
            </x14:dxf>
          </x14:cfRule>
          <xm:sqref>J25</xm:sqref>
        </x14:conditionalFormatting>
        <x14:conditionalFormatting xmlns:xm="http://schemas.microsoft.com/office/excel/2006/main">
          <x14:cfRule type="expression" priority="407" id="{1229C28B-630D-4052-847F-03CFBFA66A29}">
            <xm:f>入力!$B$14-1&lt;27</xm:f>
            <x14:dxf>
              <fill>
                <patternFill patternType="mediumGray"/>
              </fill>
            </x14:dxf>
          </x14:cfRule>
          <xm:sqref>K25</xm:sqref>
        </x14:conditionalFormatting>
        <x14:conditionalFormatting xmlns:xm="http://schemas.microsoft.com/office/excel/2006/main">
          <x14:cfRule type="expression" priority="406" id="{B764F6DD-ECC3-48E1-8714-A2AEBDC39EE5}">
            <xm:f>入力!$B$14&lt;27</xm:f>
            <x14:dxf>
              <fill>
                <patternFill patternType="mediumGray"/>
              </fill>
            </x14:dxf>
          </x14:cfRule>
          <xm:sqref>L25</xm:sqref>
        </x14:conditionalFormatting>
        <x14:conditionalFormatting xmlns:xm="http://schemas.microsoft.com/office/excel/2006/main">
          <x14:cfRule type="expression" priority="405" id="{C68D4428-9310-4FC1-9D5E-5A675A6F8870}">
            <xm:f>入力!$B$14+1&lt;27</xm:f>
            <x14:dxf>
              <fill>
                <patternFill patternType="mediumGray"/>
              </fill>
            </x14:dxf>
          </x14:cfRule>
          <xm:sqref>M25</xm:sqref>
        </x14:conditionalFormatting>
        <x14:conditionalFormatting xmlns:xm="http://schemas.microsoft.com/office/excel/2006/main">
          <x14:cfRule type="expression" priority="404" id="{1A554BFA-7231-4B27-B26C-3758B7150D12}">
            <xm:f>入力!$B$14+2&lt;27</xm:f>
            <x14:dxf>
              <fill>
                <patternFill patternType="mediumGray"/>
              </fill>
            </x14:dxf>
          </x14:cfRule>
          <xm:sqref>N25</xm:sqref>
        </x14:conditionalFormatting>
        <x14:conditionalFormatting xmlns:xm="http://schemas.microsoft.com/office/excel/2006/main">
          <x14:cfRule type="expression" priority="403" id="{46E28494-1858-4CE5-A277-F03DBC6CC143}">
            <xm:f>入力!$B$14+3&lt;27</xm:f>
            <x14:dxf>
              <fill>
                <patternFill patternType="mediumGray"/>
              </fill>
            </x14:dxf>
          </x14:cfRule>
          <xm:sqref>O25</xm:sqref>
        </x14:conditionalFormatting>
        <x14:conditionalFormatting xmlns:xm="http://schemas.microsoft.com/office/excel/2006/main">
          <x14:cfRule type="expression" priority="402" id="{9F367295-6459-4846-91D0-150448AAFE9D}">
            <xm:f>入力!$B$14+4&lt;27</xm:f>
            <x14:dxf>
              <fill>
                <patternFill patternType="mediumGray"/>
              </fill>
            </x14:dxf>
          </x14:cfRule>
          <xm:sqref>P25</xm:sqref>
        </x14:conditionalFormatting>
        <x14:conditionalFormatting xmlns:xm="http://schemas.microsoft.com/office/excel/2006/main">
          <x14:cfRule type="expression" priority="401" id="{3CF1585F-609C-4FC8-8D3D-CDE6431BC78A}">
            <xm:f>入力!$B$14-3&lt;27</xm:f>
            <x14:dxf>
              <fill>
                <patternFill patternType="mediumGray"/>
              </fill>
            </x14:dxf>
          </x14:cfRule>
          <xm:sqref>I26</xm:sqref>
        </x14:conditionalFormatting>
        <x14:conditionalFormatting xmlns:xm="http://schemas.microsoft.com/office/excel/2006/main">
          <x14:cfRule type="expression" priority="400" id="{7DA68562-A6D5-4D0B-8D71-596B40554607}">
            <xm:f>入力!$B$14-2&lt;27</xm:f>
            <x14:dxf>
              <fill>
                <patternFill patternType="mediumGray"/>
              </fill>
            </x14:dxf>
          </x14:cfRule>
          <xm:sqref>J26</xm:sqref>
        </x14:conditionalFormatting>
        <x14:conditionalFormatting xmlns:xm="http://schemas.microsoft.com/office/excel/2006/main">
          <x14:cfRule type="expression" priority="399" id="{C7BF3027-0358-45A8-AF9F-FFBEC2421F82}">
            <xm:f>入力!$B$14-1&lt;27</xm:f>
            <x14:dxf>
              <fill>
                <patternFill patternType="mediumGray"/>
              </fill>
            </x14:dxf>
          </x14:cfRule>
          <xm:sqref>K26</xm:sqref>
        </x14:conditionalFormatting>
        <x14:conditionalFormatting xmlns:xm="http://schemas.microsoft.com/office/excel/2006/main">
          <x14:cfRule type="expression" priority="398" id="{11D55A95-1E42-4736-B81B-AED5BFDBC281}">
            <xm:f>入力!$B$14&lt;27</xm:f>
            <x14:dxf>
              <fill>
                <patternFill patternType="mediumGray"/>
              </fill>
            </x14:dxf>
          </x14:cfRule>
          <xm:sqref>L26</xm:sqref>
        </x14:conditionalFormatting>
        <x14:conditionalFormatting xmlns:xm="http://schemas.microsoft.com/office/excel/2006/main">
          <x14:cfRule type="expression" priority="397" id="{8D73321D-2F5D-4A93-A1A2-1AAAEC6BB88E}">
            <xm:f>入力!$B$14+1&lt;27</xm:f>
            <x14:dxf>
              <fill>
                <patternFill patternType="mediumGray"/>
              </fill>
            </x14:dxf>
          </x14:cfRule>
          <xm:sqref>M26</xm:sqref>
        </x14:conditionalFormatting>
        <x14:conditionalFormatting xmlns:xm="http://schemas.microsoft.com/office/excel/2006/main">
          <x14:cfRule type="expression" priority="396" id="{2A320616-03E8-47DE-A290-CF1D14EFFA38}">
            <xm:f>入力!$B$14+2&lt;27</xm:f>
            <x14:dxf>
              <fill>
                <patternFill patternType="mediumGray"/>
              </fill>
            </x14:dxf>
          </x14:cfRule>
          <xm:sqref>N26</xm:sqref>
        </x14:conditionalFormatting>
        <x14:conditionalFormatting xmlns:xm="http://schemas.microsoft.com/office/excel/2006/main">
          <x14:cfRule type="expression" priority="395" id="{BDC3BA13-74D7-410D-AB14-EA35002F04B0}">
            <xm:f>入力!$B$14+3&lt;27</xm:f>
            <x14:dxf>
              <fill>
                <patternFill patternType="mediumGray"/>
              </fill>
            </x14:dxf>
          </x14:cfRule>
          <xm:sqref>O26</xm:sqref>
        </x14:conditionalFormatting>
        <x14:conditionalFormatting xmlns:xm="http://schemas.microsoft.com/office/excel/2006/main">
          <x14:cfRule type="expression" priority="394" id="{004C51A2-DFDB-4F36-880E-BE4EE6CD7B8C}">
            <xm:f>入力!$B$14+4&lt;27</xm:f>
            <x14:dxf>
              <fill>
                <patternFill patternType="mediumGray"/>
              </fill>
            </x14:dxf>
          </x14:cfRule>
          <xm:sqref>P26</xm:sqref>
        </x14:conditionalFormatting>
        <x14:conditionalFormatting xmlns:xm="http://schemas.microsoft.com/office/excel/2006/main">
          <x14:cfRule type="expression" priority="393" id="{8A1EE2BB-19D2-4852-AEFB-376323545A02}">
            <xm:f>入力!$B$14-3&lt;27</xm:f>
            <x14:dxf>
              <fill>
                <patternFill patternType="mediumGray"/>
              </fill>
            </x14:dxf>
          </x14:cfRule>
          <xm:sqref>I27</xm:sqref>
        </x14:conditionalFormatting>
        <x14:conditionalFormatting xmlns:xm="http://schemas.microsoft.com/office/excel/2006/main">
          <x14:cfRule type="expression" priority="392" id="{EEFACD90-856D-4E8C-B210-62ABCA4E1FE0}">
            <xm:f>入力!$B$14-2&lt;27</xm:f>
            <x14:dxf>
              <fill>
                <patternFill patternType="mediumGray"/>
              </fill>
            </x14:dxf>
          </x14:cfRule>
          <xm:sqref>J27</xm:sqref>
        </x14:conditionalFormatting>
        <x14:conditionalFormatting xmlns:xm="http://schemas.microsoft.com/office/excel/2006/main">
          <x14:cfRule type="expression" priority="391" id="{AD3E4036-0B17-4DEC-9D44-42B732356865}">
            <xm:f>入力!$B$14-1&lt;27</xm:f>
            <x14:dxf>
              <fill>
                <patternFill patternType="mediumGray"/>
              </fill>
            </x14:dxf>
          </x14:cfRule>
          <xm:sqref>K27</xm:sqref>
        </x14:conditionalFormatting>
        <x14:conditionalFormatting xmlns:xm="http://schemas.microsoft.com/office/excel/2006/main">
          <x14:cfRule type="expression" priority="390" id="{65993929-1564-4844-A5DA-F296C9D80AD5}">
            <xm:f>入力!$B$14&lt;27</xm:f>
            <x14:dxf>
              <fill>
                <patternFill patternType="mediumGray"/>
              </fill>
            </x14:dxf>
          </x14:cfRule>
          <xm:sqref>L27</xm:sqref>
        </x14:conditionalFormatting>
        <x14:conditionalFormatting xmlns:xm="http://schemas.microsoft.com/office/excel/2006/main">
          <x14:cfRule type="expression" priority="389" id="{9870C93D-F24B-400D-ACA0-56FAEC724A83}">
            <xm:f>入力!$B$14+1&lt;27</xm:f>
            <x14:dxf>
              <fill>
                <patternFill patternType="mediumGray"/>
              </fill>
            </x14:dxf>
          </x14:cfRule>
          <xm:sqref>M27</xm:sqref>
        </x14:conditionalFormatting>
        <x14:conditionalFormatting xmlns:xm="http://schemas.microsoft.com/office/excel/2006/main">
          <x14:cfRule type="expression" priority="388" id="{76B94191-F316-43ED-B8ED-F01511DD9969}">
            <xm:f>入力!$B$14+2&lt;27</xm:f>
            <x14:dxf>
              <fill>
                <patternFill patternType="mediumGray"/>
              </fill>
            </x14:dxf>
          </x14:cfRule>
          <xm:sqref>N27</xm:sqref>
        </x14:conditionalFormatting>
        <x14:conditionalFormatting xmlns:xm="http://schemas.microsoft.com/office/excel/2006/main">
          <x14:cfRule type="expression" priority="387" id="{D6D81E5A-3FC0-4278-B864-D98FA4ABD19C}">
            <xm:f>入力!$B$14+3&lt;27</xm:f>
            <x14:dxf>
              <fill>
                <patternFill patternType="mediumGray"/>
              </fill>
            </x14:dxf>
          </x14:cfRule>
          <xm:sqref>O27</xm:sqref>
        </x14:conditionalFormatting>
        <x14:conditionalFormatting xmlns:xm="http://schemas.microsoft.com/office/excel/2006/main">
          <x14:cfRule type="expression" priority="386" id="{92AB9704-A841-444A-BE7B-91879F6E1AA1}">
            <xm:f>入力!$B$14+4&lt;27</xm:f>
            <x14:dxf>
              <fill>
                <patternFill patternType="mediumGray"/>
              </fill>
            </x14:dxf>
          </x14:cfRule>
          <xm:sqref>P27</xm:sqref>
        </x14:conditionalFormatting>
        <x14:conditionalFormatting xmlns:xm="http://schemas.microsoft.com/office/excel/2006/main">
          <x14:cfRule type="expression" priority="385" id="{F4895EB2-7F5B-418A-9BA6-F9F9362A8903}">
            <xm:f>入力!$B$14-3&lt;27</xm:f>
            <x14:dxf>
              <fill>
                <patternFill patternType="mediumGray"/>
              </fill>
            </x14:dxf>
          </x14:cfRule>
          <xm:sqref>I28</xm:sqref>
        </x14:conditionalFormatting>
        <x14:conditionalFormatting xmlns:xm="http://schemas.microsoft.com/office/excel/2006/main">
          <x14:cfRule type="expression" priority="384" id="{6815F9A3-F683-428A-8B58-C068213BC52F}">
            <xm:f>入力!$B$14-2&lt;27</xm:f>
            <x14:dxf>
              <fill>
                <patternFill patternType="mediumGray"/>
              </fill>
            </x14:dxf>
          </x14:cfRule>
          <xm:sqref>J28</xm:sqref>
        </x14:conditionalFormatting>
        <x14:conditionalFormatting xmlns:xm="http://schemas.microsoft.com/office/excel/2006/main">
          <x14:cfRule type="expression" priority="383" id="{621D3F3D-BDB8-4544-9BD2-A6633AD81A66}">
            <xm:f>入力!$B$14-1&lt;27</xm:f>
            <x14:dxf>
              <fill>
                <patternFill patternType="mediumGray"/>
              </fill>
            </x14:dxf>
          </x14:cfRule>
          <xm:sqref>K28</xm:sqref>
        </x14:conditionalFormatting>
        <x14:conditionalFormatting xmlns:xm="http://schemas.microsoft.com/office/excel/2006/main">
          <x14:cfRule type="expression" priority="382" id="{B37EBD80-7FAD-48AC-A582-46CE1465F5BB}">
            <xm:f>入力!$B$14&lt;27</xm:f>
            <x14:dxf>
              <fill>
                <patternFill patternType="mediumGray"/>
              </fill>
            </x14:dxf>
          </x14:cfRule>
          <xm:sqref>L28</xm:sqref>
        </x14:conditionalFormatting>
        <x14:conditionalFormatting xmlns:xm="http://schemas.microsoft.com/office/excel/2006/main">
          <x14:cfRule type="expression" priority="381" id="{745D9F3C-612C-453B-B167-9446DA3AC0E4}">
            <xm:f>入力!$B$14+1&lt;27</xm:f>
            <x14:dxf>
              <fill>
                <patternFill patternType="mediumGray"/>
              </fill>
            </x14:dxf>
          </x14:cfRule>
          <xm:sqref>M28</xm:sqref>
        </x14:conditionalFormatting>
        <x14:conditionalFormatting xmlns:xm="http://schemas.microsoft.com/office/excel/2006/main">
          <x14:cfRule type="expression" priority="380" id="{DE748BF7-5DCD-4CB4-9F92-E6151FBEC9C2}">
            <xm:f>入力!$B$14+2&lt;27</xm:f>
            <x14:dxf>
              <fill>
                <patternFill patternType="mediumGray"/>
              </fill>
            </x14:dxf>
          </x14:cfRule>
          <xm:sqref>N28</xm:sqref>
        </x14:conditionalFormatting>
        <x14:conditionalFormatting xmlns:xm="http://schemas.microsoft.com/office/excel/2006/main">
          <x14:cfRule type="expression" priority="379" id="{9EF213CB-5499-415B-AFC5-8E2F8F884347}">
            <xm:f>入力!$B$14+3&lt;27</xm:f>
            <x14:dxf>
              <fill>
                <patternFill patternType="mediumGray"/>
              </fill>
            </x14:dxf>
          </x14:cfRule>
          <xm:sqref>O28</xm:sqref>
        </x14:conditionalFormatting>
        <x14:conditionalFormatting xmlns:xm="http://schemas.microsoft.com/office/excel/2006/main">
          <x14:cfRule type="expression" priority="378" id="{A2B118C7-4CA1-4D07-B12D-19B0C0578F49}">
            <xm:f>入力!$B$14+4&lt;27</xm:f>
            <x14:dxf>
              <fill>
                <patternFill patternType="mediumGray"/>
              </fill>
            </x14:dxf>
          </x14:cfRule>
          <xm:sqref>P28</xm:sqref>
        </x14:conditionalFormatting>
        <x14:conditionalFormatting xmlns:xm="http://schemas.microsoft.com/office/excel/2006/main">
          <x14:cfRule type="expression" priority="377" id="{7A82F870-CB4F-494A-9A62-2864957BE966}">
            <xm:f>入力!$B$14-3&lt;27</xm:f>
            <x14:dxf>
              <fill>
                <patternFill patternType="mediumGray"/>
              </fill>
            </x14:dxf>
          </x14:cfRule>
          <xm:sqref>I29</xm:sqref>
        </x14:conditionalFormatting>
        <x14:conditionalFormatting xmlns:xm="http://schemas.microsoft.com/office/excel/2006/main">
          <x14:cfRule type="expression" priority="376" id="{478091DC-1CB3-4259-98C6-4D2287DAA386}">
            <xm:f>入力!$B$14-2&lt;27</xm:f>
            <x14:dxf>
              <fill>
                <patternFill patternType="mediumGray"/>
              </fill>
            </x14:dxf>
          </x14:cfRule>
          <xm:sqref>J29</xm:sqref>
        </x14:conditionalFormatting>
        <x14:conditionalFormatting xmlns:xm="http://schemas.microsoft.com/office/excel/2006/main">
          <x14:cfRule type="expression" priority="375" id="{D9FD61C5-A7EF-40FB-A3F9-D032D7DF2356}">
            <xm:f>入力!$B$14-1&lt;27</xm:f>
            <x14:dxf>
              <fill>
                <patternFill patternType="mediumGray"/>
              </fill>
            </x14:dxf>
          </x14:cfRule>
          <xm:sqref>K29</xm:sqref>
        </x14:conditionalFormatting>
        <x14:conditionalFormatting xmlns:xm="http://schemas.microsoft.com/office/excel/2006/main">
          <x14:cfRule type="expression" priority="374" id="{06DD1893-E575-4CA3-B336-426747137B9F}">
            <xm:f>入力!$B$14&lt;27</xm:f>
            <x14:dxf>
              <fill>
                <patternFill patternType="mediumGray"/>
              </fill>
            </x14:dxf>
          </x14:cfRule>
          <xm:sqref>L29</xm:sqref>
        </x14:conditionalFormatting>
        <x14:conditionalFormatting xmlns:xm="http://schemas.microsoft.com/office/excel/2006/main">
          <x14:cfRule type="expression" priority="373" id="{0C78E8D3-4611-4807-AB9F-5E869DD832D0}">
            <xm:f>入力!$B$14+1&lt;27</xm:f>
            <x14:dxf>
              <fill>
                <patternFill patternType="mediumGray"/>
              </fill>
            </x14:dxf>
          </x14:cfRule>
          <xm:sqref>M29</xm:sqref>
        </x14:conditionalFormatting>
        <x14:conditionalFormatting xmlns:xm="http://schemas.microsoft.com/office/excel/2006/main">
          <x14:cfRule type="expression" priority="372" id="{5FD3D4D1-C7AE-4A33-8548-C980B6E23E32}">
            <xm:f>入力!$B$14+2&lt;27</xm:f>
            <x14:dxf>
              <fill>
                <patternFill patternType="mediumGray"/>
              </fill>
            </x14:dxf>
          </x14:cfRule>
          <xm:sqref>N29</xm:sqref>
        </x14:conditionalFormatting>
        <x14:conditionalFormatting xmlns:xm="http://schemas.microsoft.com/office/excel/2006/main">
          <x14:cfRule type="expression" priority="371" id="{985D3065-7825-4CEF-99F5-72099B6EC274}">
            <xm:f>入力!$B$14+3&lt;27</xm:f>
            <x14:dxf>
              <fill>
                <patternFill patternType="mediumGray"/>
              </fill>
            </x14:dxf>
          </x14:cfRule>
          <xm:sqref>O29</xm:sqref>
        </x14:conditionalFormatting>
        <x14:conditionalFormatting xmlns:xm="http://schemas.microsoft.com/office/excel/2006/main">
          <x14:cfRule type="expression" priority="370" id="{62918B83-76B2-4FA6-A40D-51D4343EAAEA}">
            <xm:f>入力!$B$14+4&lt;27</xm:f>
            <x14:dxf>
              <fill>
                <patternFill patternType="mediumGray"/>
              </fill>
            </x14:dxf>
          </x14:cfRule>
          <xm:sqref>P29</xm:sqref>
        </x14:conditionalFormatting>
        <x14:conditionalFormatting xmlns:xm="http://schemas.microsoft.com/office/excel/2006/main">
          <x14:cfRule type="expression" priority="369" id="{4C38CFA3-5790-43E4-9723-03DFD8B8482F}">
            <xm:f>入力!$B$14-3&lt;27</xm:f>
            <x14:dxf>
              <fill>
                <patternFill patternType="mediumGray"/>
              </fill>
            </x14:dxf>
          </x14:cfRule>
          <xm:sqref>I30</xm:sqref>
        </x14:conditionalFormatting>
        <x14:conditionalFormatting xmlns:xm="http://schemas.microsoft.com/office/excel/2006/main">
          <x14:cfRule type="expression" priority="368" id="{CF366510-EB9C-4665-BD3F-42A6D6609519}">
            <xm:f>入力!$B$14-2&lt;27</xm:f>
            <x14:dxf>
              <fill>
                <patternFill patternType="mediumGray"/>
              </fill>
            </x14:dxf>
          </x14:cfRule>
          <xm:sqref>J30</xm:sqref>
        </x14:conditionalFormatting>
        <x14:conditionalFormatting xmlns:xm="http://schemas.microsoft.com/office/excel/2006/main">
          <x14:cfRule type="expression" priority="367" id="{F2045E2C-5B91-4BCF-B45C-255502BF64E7}">
            <xm:f>入力!$B$14-1&lt;27</xm:f>
            <x14:dxf>
              <fill>
                <patternFill patternType="mediumGray"/>
              </fill>
            </x14:dxf>
          </x14:cfRule>
          <xm:sqref>K30</xm:sqref>
        </x14:conditionalFormatting>
        <x14:conditionalFormatting xmlns:xm="http://schemas.microsoft.com/office/excel/2006/main">
          <x14:cfRule type="expression" priority="366" id="{C886FE5A-749B-4E01-8AB9-EE853E895B79}">
            <xm:f>入力!$B$14&lt;27</xm:f>
            <x14:dxf>
              <fill>
                <patternFill patternType="mediumGray"/>
              </fill>
            </x14:dxf>
          </x14:cfRule>
          <xm:sqref>L30</xm:sqref>
        </x14:conditionalFormatting>
        <x14:conditionalFormatting xmlns:xm="http://schemas.microsoft.com/office/excel/2006/main">
          <x14:cfRule type="expression" priority="365" id="{3CD87666-F187-418C-9FFA-E8C77C545322}">
            <xm:f>入力!$B$14+1&lt;27</xm:f>
            <x14:dxf>
              <fill>
                <patternFill patternType="mediumGray"/>
              </fill>
            </x14:dxf>
          </x14:cfRule>
          <xm:sqref>M30</xm:sqref>
        </x14:conditionalFormatting>
        <x14:conditionalFormatting xmlns:xm="http://schemas.microsoft.com/office/excel/2006/main">
          <x14:cfRule type="expression" priority="364" id="{D420AB95-50FB-42C8-A451-BB99C439547B}">
            <xm:f>入力!$B$14+2&lt;27</xm:f>
            <x14:dxf>
              <fill>
                <patternFill patternType="mediumGray"/>
              </fill>
            </x14:dxf>
          </x14:cfRule>
          <xm:sqref>N30</xm:sqref>
        </x14:conditionalFormatting>
        <x14:conditionalFormatting xmlns:xm="http://schemas.microsoft.com/office/excel/2006/main">
          <x14:cfRule type="expression" priority="363" id="{73407379-6307-4ACB-8E47-ABBC387AB68B}">
            <xm:f>入力!$B$14+3&lt;27</xm:f>
            <x14:dxf>
              <fill>
                <patternFill patternType="mediumGray"/>
              </fill>
            </x14:dxf>
          </x14:cfRule>
          <xm:sqref>O30</xm:sqref>
        </x14:conditionalFormatting>
        <x14:conditionalFormatting xmlns:xm="http://schemas.microsoft.com/office/excel/2006/main">
          <x14:cfRule type="expression" priority="362" id="{97B0F68C-4993-4170-BF92-12CEC2EB980B}">
            <xm:f>入力!$B$14+4&lt;27</xm:f>
            <x14:dxf>
              <fill>
                <patternFill patternType="mediumGray"/>
              </fill>
            </x14:dxf>
          </x14:cfRule>
          <xm:sqref>P30</xm:sqref>
        </x14:conditionalFormatting>
        <x14:conditionalFormatting xmlns:xm="http://schemas.microsoft.com/office/excel/2006/main">
          <x14:cfRule type="expression" priority="361" id="{52B20E40-8EE6-4E19-BB4D-FEB77CDD5553}">
            <xm:f>入力!$B$14-3&lt;27</xm:f>
            <x14:dxf>
              <fill>
                <patternFill patternType="mediumGray"/>
              </fill>
            </x14:dxf>
          </x14:cfRule>
          <xm:sqref>I31</xm:sqref>
        </x14:conditionalFormatting>
        <x14:conditionalFormatting xmlns:xm="http://schemas.microsoft.com/office/excel/2006/main">
          <x14:cfRule type="expression" priority="360" id="{A65A4AA1-9F26-426B-9074-9BC3C4F4DD6C}">
            <xm:f>入力!$B$14-2&lt;27</xm:f>
            <x14:dxf>
              <fill>
                <patternFill patternType="mediumGray"/>
              </fill>
            </x14:dxf>
          </x14:cfRule>
          <xm:sqref>J31</xm:sqref>
        </x14:conditionalFormatting>
        <x14:conditionalFormatting xmlns:xm="http://schemas.microsoft.com/office/excel/2006/main">
          <x14:cfRule type="expression" priority="359" id="{0364788A-EB2A-403F-8584-AB0CFFF2B2B2}">
            <xm:f>入力!$B$14-1&lt;27</xm:f>
            <x14:dxf>
              <fill>
                <patternFill patternType="mediumGray"/>
              </fill>
            </x14:dxf>
          </x14:cfRule>
          <xm:sqref>K31</xm:sqref>
        </x14:conditionalFormatting>
        <x14:conditionalFormatting xmlns:xm="http://schemas.microsoft.com/office/excel/2006/main">
          <x14:cfRule type="expression" priority="358" id="{03B1E342-3C3F-4C22-AD1A-359C70577D89}">
            <xm:f>入力!$B$14&lt;27</xm:f>
            <x14:dxf>
              <fill>
                <patternFill patternType="mediumGray"/>
              </fill>
            </x14:dxf>
          </x14:cfRule>
          <xm:sqref>L31</xm:sqref>
        </x14:conditionalFormatting>
        <x14:conditionalFormatting xmlns:xm="http://schemas.microsoft.com/office/excel/2006/main">
          <x14:cfRule type="expression" priority="357" id="{681EF881-B5F4-4A44-B801-E59E58224D26}">
            <xm:f>入力!$B$14+1&lt;27</xm:f>
            <x14:dxf>
              <fill>
                <patternFill patternType="mediumGray"/>
              </fill>
            </x14:dxf>
          </x14:cfRule>
          <xm:sqref>M31</xm:sqref>
        </x14:conditionalFormatting>
        <x14:conditionalFormatting xmlns:xm="http://schemas.microsoft.com/office/excel/2006/main">
          <x14:cfRule type="expression" priority="356" id="{E19F33A6-29E8-4763-B796-C8275B0C682F}">
            <xm:f>入力!$B$14+2&lt;27</xm:f>
            <x14:dxf>
              <fill>
                <patternFill patternType="mediumGray"/>
              </fill>
            </x14:dxf>
          </x14:cfRule>
          <xm:sqref>N31</xm:sqref>
        </x14:conditionalFormatting>
        <x14:conditionalFormatting xmlns:xm="http://schemas.microsoft.com/office/excel/2006/main">
          <x14:cfRule type="expression" priority="355" id="{F3FAE484-EA64-4B96-99BF-280CEBF3FD7F}">
            <xm:f>入力!$B$14+3&lt;27</xm:f>
            <x14:dxf>
              <fill>
                <patternFill patternType="mediumGray"/>
              </fill>
            </x14:dxf>
          </x14:cfRule>
          <xm:sqref>O31</xm:sqref>
        </x14:conditionalFormatting>
        <x14:conditionalFormatting xmlns:xm="http://schemas.microsoft.com/office/excel/2006/main">
          <x14:cfRule type="expression" priority="354" id="{0F665A3F-0283-4B94-9CF2-2EBACB2672DC}">
            <xm:f>入力!$B$14+4&lt;27</xm:f>
            <x14:dxf>
              <fill>
                <patternFill patternType="mediumGray"/>
              </fill>
            </x14:dxf>
          </x14:cfRule>
          <xm:sqref>P31</xm:sqref>
        </x14:conditionalFormatting>
        <x14:conditionalFormatting xmlns:xm="http://schemas.microsoft.com/office/excel/2006/main">
          <x14:cfRule type="expression" priority="353" id="{64531399-678A-4C0A-B4D1-669098B9F92B}">
            <xm:f>入力!$B$14-3&lt;27</xm:f>
            <x14:dxf>
              <fill>
                <patternFill patternType="mediumGray"/>
              </fill>
            </x14:dxf>
          </x14:cfRule>
          <xm:sqref>I32</xm:sqref>
        </x14:conditionalFormatting>
        <x14:conditionalFormatting xmlns:xm="http://schemas.microsoft.com/office/excel/2006/main">
          <x14:cfRule type="expression" priority="352" id="{DA8ACE66-C285-4B85-BE7D-0DBC7C56B9F3}">
            <xm:f>入力!$B$14-2&lt;27</xm:f>
            <x14:dxf>
              <fill>
                <patternFill patternType="mediumGray"/>
              </fill>
            </x14:dxf>
          </x14:cfRule>
          <xm:sqref>J32</xm:sqref>
        </x14:conditionalFormatting>
        <x14:conditionalFormatting xmlns:xm="http://schemas.microsoft.com/office/excel/2006/main">
          <x14:cfRule type="expression" priority="351" id="{449DE331-662C-4D7B-A6D9-E0B2699480C2}">
            <xm:f>入力!$B$14-1&lt;27</xm:f>
            <x14:dxf>
              <fill>
                <patternFill patternType="mediumGray"/>
              </fill>
            </x14:dxf>
          </x14:cfRule>
          <xm:sqref>K32</xm:sqref>
        </x14:conditionalFormatting>
        <x14:conditionalFormatting xmlns:xm="http://schemas.microsoft.com/office/excel/2006/main">
          <x14:cfRule type="expression" priority="350" id="{51C57C63-42BC-403D-943A-9E8869902790}">
            <xm:f>入力!$B$14&lt;27</xm:f>
            <x14:dxf>
              <fill>
                <patternFill patternType="mediumGray"/>
              </fill>
            </x14:dxf>
          </x14:cfRule>
          <xm:sqref>L32</xm:sqref>
        </x14:conditionalFormatting>
        <x14:conditionalFormatting xmlns:xm="http://schemas.microsoft.com/office/excel/2006/main">
          <x14:cfRule type="expression" priority="349" id="{D51E0159-6005-4FAF-90BC-704B2625268E}">
            <xm:f>入力!$B$14+1&lt;27</xm:f>
            <x14:dxf>
              <fill>
                <patternFill patternType="mediumGray"/>
              </fill>
            </x14:dxf>
          </x14:cfRule>
          <xm:sqref>M32</xm:sqref>
        </x14:conditionalFormatting>
        <x14:conditionalFormatting xmlns:xm="http://schemas.microsoft.com/office/excel/2006/main">
          <x14:cfRule type="expression" priority="348" id="{A7DD7675-D7AC-4D0E-9BEA-190AB8574A4C}">
            <xm:f>入力!$B$14+2&lt;27</xm:f>
            <x14:dxf>
              <fill>
                <patternFill patternType="mediumGray"/>
              </fill>
            </x14:dxf>
          </x14:cfRule>
          <xm:sqref>N32</xm:sqref>
        </x14:conditionalFormatting>
        <x14:conditionalFormatting xmlns:xm="http://schemas.microsoft.com/office/excel/2006/main">
          <x14:cfRule type="expression" priority="347" id="{C87F3C09-BE02-4A43-9A7A-A3C8415ED8FB}">
            <xm:f>入力!$B$14+3&lt;27</xm:f>
            <x14:dxf>
              <fill>
                <patternFill patternType="mediumGray"/>
              </fill>
            </x14:dxf>
          </x14:cfRule>
          <xm:sqref>O32</xm:sqref>
        </x14:conditionalFormatting>
        <x14:conditionalFormatting xmlns:xm="http://schemas.microsoft.com/office/excel/2006/main">
          <x14:cfRule type="expression" priority="346" id="{1D03B636-514F-4CD3-AA02-006944788509}">
            <xm:f>入力!$B$14+4&lt;27</xm:f>
            <x14:dxf>
              <fill>
                <patternFill patternType="mediumGray"/>
              </fill>
            </x14:dxf>
          </x14:cfRule>
          <xm:sqref>P32</xm:sqref>
        </x14:conditionalFormatting>
        <x14:conditionalFormatting xmlns:xm="http://schemas.microsoft.com/office/excel/2006/main">
          <x14:cfRule type="expression" priority="242" id="{50D03121-A65C-447A-B62C-3AD2BA6132FD}">
            <xm:f>入力!$B$14+4&lt;27</xm:f>
            <x14:dxf>
              <fill>
                <patternFill patternType="mediumGray"/>
              </fill>
            </x14:dxf>
          </x14:cfRule>
          <xm:sqref>P47</xm:sqref>
        </x14:conditionalFormatting>
        <x14:conditionalFormatting xmlns:xm="http://schemas.microsoft.com/office/excel/2006/main">
          <x14:cfRule type="expression" priority="345" id="{811D75BE-616F-4EBF-B18D-DA4B8CD4A1E8}">
            <xm:f>入力!$B$14-3&lt;27</xm:f>
            <x14:dxf>
              <fill>
                <patternFill patternType="mediumGray"/>
              </fill>
            </x14:dxf>
          </x14:cfRule>
          <xm:sqref>I33</xm:sqref>
        </x14:conditionalFormatting>
        <x14:conditionalFormatting xmlns:xm="http://schemas.microsoft.com/office/excel/2006/main">
          <x14:cfRule type="expression" priority="344" id="{ACC4DC3E-6FF0-42F5-8F97-B5514DFA2D08}">
            <xm:f>入力!$B$14-2&lt;27</xm:f>
            <x14:dxf>
              <fill>
                <patternFill patternType="mediumGray"/>
              </fill>
            </x14:dxf>
          </x14:cfRule>
          <xm:sqref>J33</xm:sqref>
        </x14:conditionalFormatting>
        <x14:conditionalFormatting xmlns:xm="http://schemas.microsoft.com/office/excel/2006/main">
          <x14:cfRule type="expression" priority="343" id="{2BC65961-47F6-4563-966D-BF5057316A9C}">
            <xm:f>入力!$B$14-1&lt;27</xm:f>
            <x14:dxf>
              <fill>
                <patternFill patternType="mediumGray"/>
              </fill>
            </x14:dxf>
          </x14:cfRule>
          <xm:sqref>K33</xm:sqref>
        </x14:conditionalFormatting>
        <x14:conditionalFormatting xmlns:xm="http://schemas.microsoft.com/office/excel/2006/main">
          <x14:cfRule type="expression" priority="342" id="{CC5C177F-3B74-44F6-8291-2FA8AF2073E1}">
            <xm:f>入力!$B$14&lt;27</xm:f>
            <x14:dxf>
              <fill>
                <patternFill patternType="mediumGray"/>
              </fill>
            </x14:dxf>
          </x14:cfRule>
          <xm:sqref>L33</xm:sqref>
        </x14:conditionalFormatting>
        <x14:conditionalFormatting xmlns:xm="http://schemas.microsoft.com/office/excel/2006/main">
          <x14:cfRule type="expression" priority="341" id="{35EC024A-3DD4-4ABA-B556-8A66D7E0BDBC}">
            <xm:f>入力!$B$14+1&lt;27</xm:f>
            <x14:dxf>
              <fill>
                <patternFill patternType="mediumGray"/>
              </fill>
            </x14:dxf>
          </x14:cfRule>
          <xm:sqref>M33</xm:sqref>
        </x14:conditionalFormatting>
        <x14:conditionalFormatting xmlns:xm="http://schemas.microsoft.com/office/excel/2006/main">
          <x14:cfRule type="expression" priority="340" id="{DE5617AD-A3FB-4D65-8C57-5C17E9563253}">
            <xm:f>入力!$B$14+2&lt;27</xm:f>
            <x14:dxf>
              <fill>
                <patternFill patternType="mediumGray"/>
              </fill>
            </x14:dxf>
          </x14:cfRule>
          <xm:sqref>N33</xm:sqref>
        </x14:conditionalFormatting>
        <x14:conditionalFormatting xmlns:xm="http://schemas.microsoft.com/office/excel/2006/main">
          <x14:cfRule type="expression" priority="339" id="{EFCDA5FB-433D-42C7-94B1-F2E5A0842274}">
            <xm:f>入力!$B$14+3&lt;27</xm:f>
            <x14:dxf>
              <fill>
                <patternFill patternType="mediumGray"/>
              </fill>
            </x14:dxf>
          </x14:cfRule>
          <xm:sqref>O33</xm:sqref>
        </x14:conditionalFormatting>
        <x14:conditionalFormatting xmlns:xm="http://schemas.microsoft.com/office/excel/2006/main">
          <x14:cfRule type="expression" priority="338" id="{81B03292-FE76-4875-8696-D5F801914549}">
            <xm:f>入力!$B$14+4&lt;27</xm:f>
            <x14:dxf>
              <fill>
                <patternFill patternType="mediumGray"/>
              </fill>
            </x14:dxf>
          </x14:cfRule>
          <xm:sqref>P33</xm:sqref>
        </x14:conditionalFormatting>
        <x14:conditionalFormatting xmlns:xm="http://schemas.microsoft.com/office/excel/2006/main">
          <x14:cfRule type="expression" priority="337" id="{284BA0A3-DF54-4B53-83CD-563D56B1FE85}">
            <xm:f>入力!$B$14-3&lt;27</xm:f>
            <x14:dxf>
              <fill>
                <patternFill patternType="mediumGray"/>
              </fill>
            </x14:dxf>
          </x14:cfRule>
          <xm:sqref>I34</xm:sqref>
        </x14:conditionalFormatting>
        <x14:conditionalFormatting xmlns:xm="http://schemas.microsoft.com/office/excel/2006/main">
          <x14:cfRule type="expression" priority="336" id="{A3ADA1C3-FA4A-4AA6-B966-AC611FBA81B9}">
            <xm:f>入力!$B$14-2&lt;27</xm:f>
            <x14:dxf>
              <fill>
                <patternFill patternType="mediumGray"/>
              </fill>
            </x14:dxf>
          </x14:cfRule>
          <xm:sqref>J34</xm:sqref>
        </x14:conditionalFormatting>
        <x14:conditionalFormatting xmlns:xm="http://schemas.microsoft.com/office/excel/2006/main">
          <x14:cfRule type="expression" priority="335" id="{59C6F0A5-13E2-4EE4-B30F-839E632A88D3}">
            <xm:f>入力!$B$14-1&lt;27</xm:f>
            <x14:dxf>
              <fill>
                <patternFill patternType="mediumGray"/>
              </fill>
            </x14:dxf>
          </x14:cfRule>
          <xm:sqref>K34</xm:sqref>
        </x14:conditionalFormatting>
        <x14:conditionalFormatting xmlns:xm="http://schemas.microsoft.com/office/excel/2006/main">
          <x14:cfRule type="expression" priority="334" id="{0E477C58-3447-4C87-B135-31FB7CE28DBC}">
            <xm:f>入力!$B$14&lt;27</xm:f>
            <x14:dxf>
              <fill>
                <patternFill patternType="mediumGray"/>
              </fill>
            </x14:dxf>
          </x14:cfRule>
          <xm:sqref>L34</xm:sqref>
        </x14:conditionalFormatting>
        <x14:conditionalFormatting xmlns:xm="http://schemas.microsoft.com/office/excel/2006/main">
          <x14:cfRule type="expression" priority="333" id="{EB83B1D5-0413-4072-99C9-AE382D2E23FE}">
            <xm:f>入力!$B$14+1&lt;27</xm:f>
            <x14:dxf>
              <fill>
                <patternFill patternType="mediumGray"/>
              </fill>
            </x14:dxf>
          </x14:cfRule>
          <xm:sqref>M34</xm:sqref>
        </x14:conditionalFormatting>
        <x14:conditionalFormatting xmlns:xm="http://schemas.microsoft.com/office/excel/2006/main">
          <x14:cfRule type="expression" priority="332" id="{9A721B62-EFEB-48B1-B316-C77B43C7FBE0}">
            <xm:f>入力!$B$14+2&lt;27</xm:f>
            <x14:dxf>
              <fill>
                <patternFill patternType="mediumGray"/>
              </fill>
            </x14:dxf>
          </x14:cfRule>
          <xm:sqref>N34</xm:sqref>
        </x14:conditionalFormatting>
        <x14:conditionalFormatting xmlns:xm="http://schemas.microsoft.com/office/excel/2006/main">
          <x14:cfRule type="expression" priority="331" id="{31D3BCDB-7046-455E-B689-D62762C09360}">
            <xm:f>入力!$B$14+3&lt;27</xm:f>
            <x14:dxf>
              <fill>
                <patternFill patternType="mediumGray"/>
              </fill>
            </x14:dxf>
          </x14:cfRule>
          <xm:sqref>O34</xm:sqref>
        </x14:conditionalFormatting>
        <x14:conditionalFormatting xmlns:xm="http://schemas.microsoft.com/office/excel/2006/main">
          <x14:cfRule type="expression" priority="330" id="{34E631A8-679F-4491-A2B9-BFF3DB97DEF3}">
            <xm:f>入力!$B$14+4&lt;27</xm:f>
            <x14:dxf>
              <fill>
                <patternFill patternType="mediumGray"/>
              </fill>
            </x14:dxf>
          </x14:cfRule>
          <xm:sqref>P34</xm:sqref>
        </x14:conditionalFormatting>
        <x14:conditionalFormatting xmlns:xm="http://schemas.microsoft.com/office/excel/2006/main">
          <x14:cfRule type="expression" priority="329" id="{568A351D-3035-4F3D-B848-7FFD7EF1F20D}">
            <xm:f>入力!$B$14-3&lt;27</xm:f>
            <x14:dxf>
              <fill>
                <patternFill patternType="mediumGray"/>
              </fill>
            </x14:dxf>
          </x14:cfRule>
          <xm:sqref>I35</xm:sqref>
        </x14:conditionalFormatting>
        <x14:conditionalFormatting xmlns:xm="http://schemas.microsoft.com/office/excel/2006/main">
          <x14:cfRule type="expression" priority="328" id="{07D453ED-6B7F-4D34-965F-88A5EE0C1A2D}">
            <xm:f>入力!$B$14-2&lt;27</xm:f>
            <x14:dxf>
              <fill>
                <patternFill patternType="mediumGray"/>
              </fill>
            </x14:dxf>
          </x14:cfRule>
          <xm:sqref>J35</xm:sqref>
        </x14:conditionalFormatting>
        <x14:conditionalFormatting xmlns:xm="http://schemas.microsoft.com/office/excel/2006/main">
          <x14:cfRule type="expression" priority="327" id="{64FD7873-69C7-4BC5-B8E0-ED523D1023CE}">
            <xm:f>入力!$B$14-1&lt;27</xm:f>
            <x14:dxf>
              <fill>
                <patternFill patternType="mediumGray"/>
              </fill>
            </x14:dxf>
          </x14:cfRule>
          <xm:sqref>K35</xm:sqref>
        </x14:conditionalFormatting>
        <x14:conditionalFormatting xmlns:xm="http://schemas.microsoft.com/office/excel/2006/main">
          <x14:cfRule type="expression" priority="326" id="{65D1CC62-7134-405E-998F-F5D9850595C5}">
            <xm:f>入力!$B$14&lt;27</xm:f>
            <x14:dxf>
              <fill>
                <patternFill patternType="mediumGray"/>
              </fill>
            </x14:dxf>
          </x14:cfRule>
          <xm:sqref>L35</xm:sqref>
        </x14:conditionalFormatting>
        <x14:conditionalFormatting xmlns:xm="http://schemas.microsoft.com/office/excel/2006/main">
          <x14:cfRule type="expression" priority="325" id="{0E940600-AF98-4E9B-A955-85ACE09D8A2E}">
            <xm:f>入力!$B$14+1&lt;27</xm:f>
            <x14:dxf>
              <fill>
                <patternFill patternType="mediumGray"/>
              </fill>
            </x14:dxf>
          </x14:cfRule>
          <xm:sqref>M35</xm:sqref>
        </x14:conditionalFormatting>
        <x14:conditionalFormatting xmlns:xm="http://schemas.microsoft.com/office/excel/2006/main">
          <x14:cfRule type="expression" priority="324" id="{FE21F0A4-D5F1-4A27-8D53-5227A7120EEB}">
            <xm:f>入力!$B$14+2&lt;27</xm:f>
            <x14:dxf>
              <fill>
                <patternFill patternType="mediumGray"/>
              </fill>
            </x14:dxf>
          </x14:cfRule>
          <xm:sqref>N35</xm:sqref>
        </x14:conditionalFormatting>
        <x14:conditionalFormatting xmlns:xm="http://schemas.microsoft.com/office/excel/2006/main">
          <x14:cfRule type="expression" priority="323" id="{094EDA3F-66F4-4EF2-8466-CE8FEF31A934}">
            <xm:f>入力!$B$14+3&lt;27</xm:f>
            <x14:dxf>
              <fill>
                <patternFill patternType="mediumGray"/>
              </fill>
            </x14:dxf>
          </x14:cfRule>
          <xm:sqref>O35</xm:sqref>
        </x14:conditionalFormatting>
        <x14:conditionalFormatting xmlns:xm="http://schemas.microsoft.com/office/excel/2006/main">
          <x14:cfRule type="expression" priority="322" id="{FFBDE405-D672-4E49-AD94-135742292701}">
            <xm:f>入力!$B$14+4&lt;27</xm:f>
            <x14:dxf>
              <fill>
                <patternFill patternType="mediumGray"/>
              </fill>
            </x14:dxf>
          </x14:cfRule>
          <xm:sqref>P35</xm:sqref>
        </x14:conditionalFormatting>
        <x14:conditionalFormatting xmlns:xm="http://schemas.microsoft.com/office/excel/2006/main">
          <x14:cfRule type="expression" priority="321" id="{A2047BB8-0663-4D9E-8C51-F320C443792B}">
            <xm:f>入力!$B$14-3&lt;27</xm:f>
            <x14:dxf>
              <fill>
                <patternFill patternType="mediumGray"/>
              </fill>
            </x14:dxf>
          </x14:cfRule>
          <xm:sqref>I36</xm:sqref>
        </x14:conditionalFormatting>
        <x14:conditionalFormatting xmlns:xm="http://schemas.microsoft.com/office/excel/2006/main">
          <x14:cfRule type="expression" priority="320" id="{31435EA5-7E8A-4AE5-9B4F-852FB1A2408E}">
            <xm:f>入力!$B$14-2&lt;27</xm:f>
            <x14:dxf>
              <fill>
                <patternFill patternType="mediumGray"/>
              </fill>
            </x14:dxf>
          </x14:cfRule>
          <xm:sqref>J36</xm:sqref>
        </x14:conditionalFormatting>
        <x14:conditionalFormatting xmlns:xm="http://schemas.microsoft.com/office/excel/2006/main">
          <x14:cfRule type="expression" priority="319" id="{5ED4D9FF-834B-4529-9EC1-3D60AA8C0011}">
            <xm:f>入力!$B$14-1&lt;27</xm:f>
            <x14:dxf>
              <fill>
                <patternFill patternType="mediumGray"/>
              </fill>
            </x14:dxf>
          </x14:cfRule>
          <xm:sqref>K36</xm:sqref>
        </x14:conditionalFormatting>
        <x14:conditionalFormatting xmlns:xm="http://schemas.microsoft.com/office/excel/2006/main">
          <x14:cfRule type="expression" priority="318" id="{242184D2-49CF-4EC5-BFBA-71FDDE7BE7A2}">
            <xm:f>入力!$B$14&lt;27</xm:f>
            <x14:dxf>
              <fill>
                <patternFill patternType="mediumGray"/>
              </fill>
            </x14:dxf>
          </x14:cfRule>
          <xm:sqref>L36</xm:sqref>
        </x14:conditionalFormatting>
        <x14:conditionalFormatting xmlns:xm="http://schemas.microsoft.com/office/excel/2006/main">
          <x14:cfRule type="expression" priority="317" id="{45D143DF-2029-4E49-9B24-846CD9BC6631}">
            <xm:f>入力!$B$14+1&lt;27</xm:f>
            <x14:dxf>
              <fill>
                <patternFill patternType="mediumGray"/>
              </fill>
            </x14:dxf>
          </x14:cfRule>
          <xm:sqref>M36</xm:sqref>
        </x14:conditionalFormatting>
        <x14:conditionalFormatting xmlns:xm="http://schemas.microsoft.com/office/excel/2006/main">
          <x14:cfRule type="expression" priority="316" id="{1125CE40-F8DD-4AED-9C44-3818477BD97C}">
            <xm:f>入力!$B$14+2&lt;27</xm:f>
            <x14:dxf>
              <fill>
                <patternFill patternType="mediumGray"/>
              </fill>
            </x14:dxf>
          </x14:cfRule>
          <xm:sqref>N36</xm:sqref>
        </x14:conditionalFormatting>
        <x14:conditionalFormatting xmlns:xm="http://schemas.microsoft.com/office/excel/2006/main">
          <x14:cfRule type="expression" priority="315" id="{5FD8D6E9-4CED-4EC1-B415-12F3B3EE098D}">
            <xm:f>入力!$B$14+3&lt;27</xm:f>
            <x14:dxf>
              <fill>
                <patternFill patternType="mediumGray"/>
              </fill>
            </x14:dxf>
          </x14:cfRule>
          <xm:sqref>O36</xm:sqref>
        </x14:conditionalFormatting>
        <x14:conditionalFormatting xmlns:xm="http://schemas.microsoft.com/office/excel/2006/main">
          <x14:cfRule type="expression" priority="314" id="{4454CD3E-6FE8-4A42-AA80-8020F3222760}">
            <xm:f>入力!$B$14+4&lt;27</xm:f>
            <x14:dxf>
              <fill>
                <patternFill patternType="mediumGray"/>
              </fill>
            </x14:dxf>
          </x14:cfRule>
          <xm:sqref>P36</xm:sqref>
        </x14:conditionalFormatting>
        <x14:conditionalFormatting xmlns:xm="http://schemas.microsoft.com/office/excel/2006/main">
          <x14:cfRule type="expression" priority="313" id="{29FA6710-B27B-40D0-931C-F1CF765DB710}">
            <xm:f>入力!$B$14-3&lt;27</xm:f>
            <x14:dxf>
              <fill>
                <patternFill patternType="mediumGray"/>
              </fill>
            </x14:dxf>
          </x14:cfRule>
          <xm:sqref>I37</xm:sqref>
        </x14:conditionalFormatting>
        <x14:conditionalFormatting xmlns:xm="http://schemas.microsoft.com/office/excel/2006/main">
          <x14:cfRule type="expression" priority="312" id="{394D786B-CA0E-4BF5-8498-DFC6632C718F}">
            <xm:f>入力!$B$14-2&lt;27</xm:f>
            <x14:dxf>
              <fill>
                <patternFill patternType="mediumGray"/>
              </fill>
            </x14:dxf>
          </x14:cfRule>
          <xm:sqref>J37</xm:sqref>
        </x14:conditionalFormatting>
        <x14:conditionalFormatting xmlns:xm="http://schemas.microsoft.com/office/excel/2006/main">
          <x14:cfRule type="expression" priority="311" id="{EE60626F-366A-4FE5-A041-D873A0242808}">
            <xm:f>入力!$B$14-1&lt;27</xm:f>
            <x14:dxf>
              <fill>
                <patternFill patternType="mediumGray"/>
              </fill>
            </x14:dxf>
          </x14:cfRule>
          <xm:sqref>K37</xm:sqref>
        </x14:conditionalFormatting>
        <x14:conditionalFormatting xmlns:xm="http://schemas.microsoft.com/office/excel/2006/main">
          <x14:cfRule type="expression" priority="310" id="{02390454-EAE2-49B6-B934-B70C3FD1C921}">
            <xm:f>入力!$B$14&lt;27</xm:f>
            <x14:dxf>
              <fill>
                <patternFill patternType="mediumGray"/>
              </fill>
            </x14:dxf>
          </x14:cfRule>
          <xm:sqref>L37</xm:sqref>
        </x14:conditionalFormatting>
        <x14:conditionalFormatting xmlns:xm="http://schemas.microsoft.com/office/excel/2006/main">
          <x14:cfRule type="expression" priority="309" id="{AC16ACB6-3FC3-4140-ADF9-A4141DD019C9}">
            <xm:f>入力!$B$14+1&lt;27</xm:f>
            <x14:dxf>
              <fill>
                <patternFill patternType="mediumGray"/>
              </fill>
            </x14:dxf>
          </x14:cfRule>
          <xm:sqref>M37</xm:sqref>
        </x14:conditionalFormatting>
        <x14:conditionalFormatting xmlns:xm="http://schemas.microsoft.com/office/excel/2006/main">
          <x14:cfRule type="expression" priority="308" id="{C624B1A0-0DD0-4C0E-A2D5-22CF89F6F7DF}">
            <xm:f>入力!$B$14+2&lt;27</xm:f>
            <x14:dxf>
              <fill>
                <patternFill patternType="mediumGray"/>
              </fill>
            </x14:dxf>
          </x14:cfRule>
          <xm:sqref>N37</xm:sqref>
        </x14:conditionalFormatting>
        <x14:conditionalFormatting xmlns:xm="http://schemas.microsoft.com/office/excel/2006/main">
          <x14:cfRule type="expression" priority="307" id="{BB4964C2-6597-488F-A50D-2C867DD974E2}">
            <xm:f>入力!$B$14+3&lt;27</xm:f>
            <x14:dxf>
              <fill>
                <patternFill patternType="mediumGray"/>
              </fill>
            </x14:dxf>
          </x14:cfRule>
          <xm:sqref>O37</xm:sqref>
        </x14:conditionalFormatting>
        <x14:conditionalFormatting xmlns:xm="http://schemas.microsoft.com/office/excel/2006/main">
          <x14:cfRule type="expression" priority="306" id="{565EFE35-97A4-4B2A-8FD7-D217968EC036}">
            <xm:f>入力!$B$14+4&lt;27</xm:f>
            <x14:dxf>
              <fill>
                <patternFill patternType="mediumGray"/>
              </fill>
            </x14:dxf>
          </x14:cfRule>
          <xm:sqref>P37</xm:sqref>
        </x14:conditionalFormatting>
        <x14:conditionalFormatting xmlns:xm="http://schemas.microsoft.com/office/excel/2006/main">
          <x14:cfRule type="expression" priority="305" id="{839497A0-BE1D-4EA2-812C-15AF13E37E0E}">
            <xm:f>入力!$B$14-3&lt;27</xm:f>
            <x14:dxf>
              <fill>
                <patternFill patternType="mediumGray"/>
              </fill>
            </x14:dxf>
          </x14:cfRule>
          <xm:sqref>I38</xm:sqref>
        </x14:conditionalFormatting>
        <x14:conditionalFormatting xmlns:xm="http://schemas.microsoft.com/office/excel/2006/main">
          <x14:cfRule type="expression" priority="304" id="{38DAB73E-0087-4ABD-9505-A0299EFD7F24}">
            <xm:f>入力!$B$14-2&lt;27</xm:f>
            <x14:dxf>
              <fill>
                <patternFill patternType="mediumGray"/>
              </fill>
            </x14:dxf>
          </x14:cfRule>
          <xm:sqref>J38</xm:sqref>
        </x14:conditionalFormatting>
        <x14:conditionalFormatting xmlns:xm="http://schemas.microsoft.com/office/excel/2006/main">
          <x14:cfRule type="expression" priority="303" id="{DD89069F-3B66-4027-A6DA-EC8FC96C9846}">
            <xm:f>入力!$B$14-1&lt;27</xm:f>
            <x14:dxf>
              <fill>
                <patternFill patternType="mediumGray"/>
              </fill>
            </x14:dxf>
          </x14:cfRule>
          <xm:sqref>K38</xm:sqref>
        </x14:conditionalFormatting>
        <x14:conditionalFormatting xmlns:xm="http://schemas.microsoft.com/office/excel/2006/main">
          <x14:cfRule type="expression" priority="302" id="{9309B8C4-B454-41E2-8EDB-66B533CE21E2}">
            <xm:f>入力!$B$14&lt;27</xm:f>
            <x14:dxf>
              <fill>
                <patternFill patternType="mediumGray"/>
              </fill>
            </x14:dxf>
          </x14:cfRule>
          <xm:sqref>L38</xm:sqref>
        </x14:conditionalFormatting>
        <x14:conditionalFormatting xmlns:xm="http://schemas.microsoft.com/office/excel/2006/main">
          <x14:cfRule type="expression" priority="301" id="{D454891E-BC8A-4373-8B46-6B18269D67A8}">
            <xm:f>入力!$B$14+1&lt;27</xm:f>
            <x14:dxf>
              <fill>
                <patternFill patternType="mediumGray"/>
              </fill>
            </x14:dxf>
          </x14:cfRule>
          <xm:sqref>M38</xm:sqref>
        </x14:conditionalFormatting>
        <x14:conditionalFormatting xmlns:xm="http://schemas.microsoft.com/office/excel/2006/main">
          <x14:cfRule type="expression" priority="300" id="{232AC872-49E5-4AC6-9169-D09F75BECD3A}">
            <xm:f>入力!$B$14+2&lt;27</xm:f>
            <x14:dxf>
              <fill>
                <patternFill patternType="mediumGray"/>
              </fill>
            </x14:dxf>
          </x14:cfRule>
          <xm:sqref>N38</xm:sqref>
        </x14:conditionalFormatting>
        <x14:conditionalFormatting xmlns:xm="http://schemas.microsoft.com/office/excel/2006/main">
          <x14:cfRule type="expression" priority="299" id="{2C0DF7CB-D4C6-4DDA-8FC6-64C286B7BCBA}">
            <xm:f>入力!$B$14+3&lt;27</xm:f>
            <x14:dxf>
              <fill>
                <patternFill patternType="mediumGray"/>
              </fill>
            </x14:dxf>
          </x14:cfRule>
          <xm:sqref>O38</xm:sqref>
        </x14:conditionalFormatting>
        <x14:conditionalFormatting xmlns:xm="http://schemas.microsoft.com/office/excel/2006/main">
          <x14:cfRule type="expression" priority="298" id="{4D516CA3-D49F-4A80-A8B8-532C13174226}">
            <xm:f>入力!$B$14+4&lt;27</xm:f>
            <x14:dxf>
              <fill>
                <patternFill patternType="mediumGray"/>
              </fill>
            </x14:dxf>
          </x14:cfRule>
          <xm:sqref>P38</xm:sqref>
        </x14:conditionalFormatting>
        <x14:conditionalFormatting xmlns:xm="http://schemas.microsoft.com/office/excel/2006/main">
          <x14:cfRule type="expression" priority="297" id="{D1B525E7-060E-492C-8F02-85A7663F5942}">
            <xm:f>入力!$B$14-3&lt;27</xm:f>
            <x14:dxf>
              <fill>
                <patternFill patternType="mediumGray"/>
              </fill>
            </x14:dxf>
          </x14:cfRule>
          <xm:sqref>I39</xm:sqref>
        </x14:conditionalFormatting>
        <x14:conditionalFormatting xmlns:xm="http://schemas.microsoft.com/office/excel/2006/main">
          <x14:cfRule type="expression" priority="296" id="{6E5DF525-541C-471E-923D-9C573542C689}">
            <xm:f>入力!$B$14-2&lt;27</xm:f>
            <x14:dxf>
              <fill>
                <patternFill patternType="mediumGray"/>
              </fill>
            </x14:dxf>
          </x14:cfRule>
          <xm:sqref>J39</xm:sqref>
        </x14:conditionalFormatting>
        <x14:conditionalFormatting xmlns:xm="http://schemas.microsoft.com/office/excel/2006/main">
          <x14:cfRule type="expression" priority="295" id="{3507C4B3-903D-4360-8FCF-921CE3F0CF0A}">
            <xm:f>入力!$B$14-1&lt;27</xm:f>
            <x14:dxf>
              <fill>
                <patternFill patternType="mediumGray"/>
              </fill>
            </x14:dxf>
          </x14:cfRule>
          <xm:sqref>K39</xm:sqref>
        </x14:conditionalFormatting>
        <x14:conditionalFormatting xmlns:xm="http://schemas.microsoft.com/office/excel/2006/main">
          <x14:cfRule type="expression" priority="294" id="{5415B8A8-B6B2-445C-AE74-96D8025C36A4}">
            <xm:f>入力!$B$14&lt;27</xm:f>
            <x14:dxf>
              <fill>
                <patternFill patternType="mediumGray"/>
              </fill>
            </x14:dxf>
          </x14:cfRule>
          <xm:sqref>L39</xm:sqref>
        </x14:conditionalFormatting>
        <x14:conditionalFormatting xmlns:xm="http://schemas.microsoft.com/office/excel/2006/main">
          <x14:cfRule type="expression" priority="293" id="{D2B86F8B-D8B5-49F0-BF32-5658DEC5C57F}">
            <xm:f>入力!$B$14+1&lt;27</xm:f>
            <x14:dxf>
              <fill>
                <patternFill patternType="mediumGray"/>
              </fill>
            </x14:dxf>
          </x14:cfRule>
          <xm:sqref>M39</xm:sqref>
        </x14:conditionalFormatting>
        <x14:conditionalFormatting xmlns:xm="http://schemas.microsoft.com/office/excel/2006/main">
          <x14:cfRule type="expression" priority="292" id="{DB4B690E-D6A9-4BF0-A503-4C7F94381F89}">
            <xm:f>入力!$B$14+2&lt;27</xm:f>
            <x14:dxf>
              <fill>
                <patternFill patternType="mediumGray"/>
              </fill>
            </x14:dxf>
          </x14:cfRule>
          <xm:sqref>N39</xm:sqref>
        </x14:conditionalFormatting>
        <x14:conditionalFormatting xmlns:xm="http://schemas.microsoft.com/office/excel/2006/main">
          <x14:cfRule type="expression" priority="291" id="{78458CB4-B8F9-4DA4-80D0-A35F63E5249D}">
            <xm:f>入力!$B$14+3&lt;27</xm:f>
            <x14:dxf>
              <fill>
                <patternFill patternType="mediumGray"/>
              </fill>
            </x14:dxf>
          </x14:cfRule>
          <xm:sqref>O39</xm:sqref>
        </x14:conditionalFormatting>
        <x14:conditionalFormatting xmlns:xm="http://schemas.microsoft.com/office/excel/2006/main">
          <x14:cfRule type="expression" priority="290" id="{233D9182-124F-478B-B440-B189ED21A93B}">
            <xm:f>入力!$B$14+4&lt;27</xm:f>
            <x14:dxf>
              <fill>
                <patternFill patternType="mediumGray"/>
              </fill>
            </x14:dxf>
          </x14:cfRule>
          <xm:sqref>P39</xm:sqref>
        </x14:conditionalFormatting>
        <x14:conditionalFormatting xmlns:xm="http://schemas.microsoft.com/office/excel/2006/main">
          <x14:cfRule type="expression" priority="289" id="{BE0A3259-5C2D-42F3-B944-97503CA9545F}">
            <xm:f>入力!$B$14-3&lt;27</xm:f>
            <x14:dxf>
              <fill>
                <patternFill patternType="mediumGray"/>
              </fill>
            </x14:dxf>
          </x14:cfRule>
          <xm:sqref>I40</xm:sqref>
        </x14:conditionalFormatting>
        <x14:conditionalFormatting xmlns:xm="http://schemas.microsoft.com/office/excel/2006/main">
          <x14:cfRule type="expression" priority="288" id="{C602FA85-16E4-41FD-BCCE-59C09065F624}">
            <xm:f>入力!$B$14-2&lt;27</xm:f>
            <x14:dxf>
              <fill>
                <patternFill patternType="mediumGray"/>
              </fill>
            </x14:dxf>
          </x14:cfRule>
          <xm:sqref>J40</xm:sqref>
        </x14:conditionalFormatting>
        <x14:conditionalFormatting xmlns:xm="http://schemas.microsoft.com/office/excel/2006/main">
          <x14:cfRule type="expression" priority="287" id="{989704DB-7255-4F8B-878F-18DBE8EA326E}">
            <xm:f>入力!$B$14-1&lt;27</xm:f>
            <x14:dxf>
              <fill>
                <patternFill patternType="mediumGray"/>
              </fill>
            </x14:dxf>
          </x14:cfRule>
          <xm:sqref>K40</xm:sqref>
        </x14:conditionalFormatting>
        <x14:conditionalFormatting xmlns:xm="http://schemas.microsoft.com/office/excel/2006/main">
          <x14:cfRule type="expression" priority="286" id="{2AFCA08A-B5C6-4D61-99B0-3628901A6EDE}">
            <xm:f>入力!$B$14&lt;27</xm:f>
            <x14:dxf>
              <fill>
                <patternFill patternType="mediumGray"/>
              </fill>
            </x14:dxf>
          </x14:cfRule>
          <xm:sqref>L40</xm:sqref>
        </x14:conditionalFormatting>
        <x14:conditionalFormatting xmlns:xm="http://schemas.microsoft.com/office/excel/2006/main">
          <x14:cfRule type="expression" priority="285" id="{76970E8B-E214-4809-BEA3-53B779A28B10}">
            <xm:f>入力!$B$14+1&lt;27</xm:f>
            <x14:dxf>
              <fill>
                <patternFill patternType="mediumGray"/>
              </fill>
            </x14:dxf>
          </x14:cfRule>
          <xm:sqref>M40</xm:sqref>
        </x14:conditionalFormatting>
        <x14:conditionalFormatting xmlns:xm="http://schemas.microsoft.com/office/excel/2006/main">
          <x14:cfRule type="expression" priority="284" id="{A16C6284-A521-4310-85E5-BE6F8368DA2A}">
            <xm:f>入力!$B$14+2&lt;27</xm:f>
            <x14:dxf>
              <fill>
                <patternFill patternType="mediumGray"/>
              </fill>
            </x14:dxf>
          </x14:cfRule>
          <xm:sqref>N40</xm:sqref>
        </x14:conditionalFormatting>
        <x14:conditionalFormatting xmlns:xm="http://schemas.microsoft.com/office/excel/2006/main">
          <x14:cfRule type="expression" priority="283" id="{008056A5-BC9B-4123-88FF-1D5A52966503}">
            <xm:f>入力!$B$14+3&lt;27</xm:f>
            <x14:dxf>
              <fill>
                <patternFill patternType="mediumGray"/>
              </fill>
            </x14:dxf>
          </x14:cfRule>
          <xm:sqref>O40</xm:sqref>
        </x14:conditionalFormatting>
        <x14:conditionalFormatting xmlns:xm="http://schemas.microsoft.com/office/excel/2006/main">
          <x14:cfRule type="expression" priority="282" id="{9453D986-BF52-4349-956A-0B6D33E49552}">
            <xm:f>入力!$B$14+4&lt;27</xm:f>
            <x14:dxf>
              <fill>
                <patternFill patternType="mediumGray"/>
              </fill>
            </x14:dxf>
          </x14:cfRule>
          <xm:sqref>P40</xm:sqref>
        </x14:conditionalFormatting>
        <x14:conditionalFormatting xmlns:xm="http://schemas.microsoft.com/office/excel/2006/main">
          <x14:cfRule type="expression" priority="281" id="{13B15041-111F-4242-A781-DCE1A74DD24F}">
            <xm:f>入力!$B$14-3&lt;27</xm:f>
            <x14:dxf>
              <fill>
                <patternFill patternType="mediumGray"/>
              </fill>
            </x14:dxf>
          </x14:cfRule>
          <xm:sqref>I41</xm:sqref>
        </x14:conditionalFormatting>
        <x14:conditionalFormatting xmlns:xm="http://schemas.microsoft.com/office/excel/2006/main">
          <x14:cfRule type="expression" priority="280" id="{B25D1A90-AC71-4675-9B55-FB2743A67D94}">
            <xm:f>入力!$B$14-2&lt;27</xm:f>
            <x14:dxf>
              <fill>
                <patternFill patternType="mediumGray"/>
              </fill>
            </x14:dxf>
          </x14:cfRule>
          <xm:sqref>J41</xm:sqref>
        </x14:conditionalFormatting>
        <x14:conditionalFormatting xmlns:xm="http://schemas.microsoft.com/office/excel/2006/main">
          <x14:cfRule type="expression" priority="279" id="{22DB1E79-B8D0-4377-B67B-62B9530310D0}">
            <xm:f>入力!$B$14-1&lt;27</xm:f>
            <x14:dxf>
              <fill>
                <patternFill patternType="mediumGray"/>
              </fill>
            </x14:dxf>
          </x14:cfRule>
          <xm:sqref>K41</xm:sqref>
        </x14:conditionalFormatting>
        <x14:conditionalFormatting xmlns:xm="http://schemas.microsoft.com/office/excel/2006/main">
          <x14:cfRule type="expression" priority="278" id="{324DA5D2-F29C-4223-ADA8-B0D0E4C38E86}">
            <xm:f>入力!$B$14&lt;27</xm:f>
            <x14:dxf>
              <fill>
                <patternFill patternType="mediumGray"/>
              </fill>
            </x14:dxf>
          </x14:cfRule>
          <xm:sqref>L41</xm:sqref>
        </x14:conditionalFormatting>
        <x14:conditionalFormatting xmlns:xm="http://schemas.microsoft.com/office/excel/2006/main">
          <x14:cfRule type="expression" priority="277" id="{002E6559-24E8-4A89-B60E-300DC0DF3F7E}">
            <xm:f>入力!$B$14+1&lt;27</xm:f>
            <x14:dxf>
              <fill>
                <patternFill patternType="mediumGray"/>
              </fill>
            </x14:dxf>
          </x14:cfRule>
          <xm:sqref>M41</xm:sqref>
        </x14:conditionalFormatting>
        <x14:conditionalFormatting xmlns:xm="http://schemas.microsoft.com/office/excel/2006/main">
          <x14:cfRule type="expression" priority="276" id="{4FE056BD-1734-42F5-ABE1-D452FAAE90E7}">
            <xm:f>入力!$B$14+2&lt;27</xm:f>
            <x14:dxf>
              <fill>
                <patternFill patternType="mediumGray"/>
              </fill>
            </x14:dxf>
          </x14:cfRule>
          <xm:sqref>N41</xm:sqref>
        </x14:conditionalFormatting>
        <x14:conditionalFormatting xmlns:xm="http://schemas.microsoft.com/office/excel/2006/main">
          <x14:cfRule type="expression" priority="275" id="{EBF36263-99E6-4B5A-A50D-F181129FFD32}">
            <xm:f>入力!$B$14+3&lt;27</xm:f>
            <x14:dxf>
              <fill>
                <patternFill patternType="mediumGray"/>
              </fill>
            </x14:dxf>
          </x14:cfRule>
          <xm:sqref>O41</xm:sqref>
        </x14:conditionalFormatting>
        <x14:conditionalFormatting xmlns:xm="http://schemas.microsoft.com/office/excel/2006/main">
          <x14:cfRule type="expression" priority="274" id="{82D08432-FF17-40CA-999E-8BA36607AC3B}">
            <xm:f>入力!$B$14+4&lt;27</xm:f>
            <x14:dxf>
              <fill>
                <patternFill patternType="mediumGray"/>
              </fill>
            </x14:dxf>
          </x14:cfRule>
          <xm:sqref>P41</xm:sqref>
        </x14:conditionalFormatting>
        <x14:conditionalFormatting xmlns:xm="http://schemas.microsoft.com/office/excel/2006/main">
          <x14:cfRule type="expression" priority="176" id="{ABA24196-153B-442E-ACF9-FBC345883644}">
            <xm:f>入力!$B$14-2&lt;27</xm:f>
            <x14:dxf>
              <fill>
                <patternFill patternType="mediumGray"/>
              </fill>
            </x14:dxf>
          </x14:cfRule>
          <xm:sqref>J42</xm:sqref>
        </x14:conditionalFormatting>
        <x14:conditionalFormatting xmlns:xm="http://schemas.microsoft.com/office/excel/2006/main">
          <x14:cfRule type="expression" priority="175" id="{9D5A8D4F-6145-4EEF-B12F-0088CFC41560}">
            <xm:f>入力!$B$14-1&lt;27</xm:f>
            <x14:dxf>
              <fill>
                <patternFill patternType="mediumGray"/>
              </fill>
            </x14:dxf>
          </x14:cfRule>
          <xm:sqref>K42</xm:sqref>
        </x14:conditionalFormatting>
        <x14:conditionalFormatting xmlns:xm="http://schemas.microsoft.com/office/excel/2006/main">
          <x14:cfRule type="expression" priority="174" id="{3C0941F4-2CD4-4C4F-982D-F0E9C21840F0}">
            <xm:f>入力!$B$14&lt;27</xm:f>
            <x14:dxf>
              <fill>
                <patternFill patternType="mediumGray"/>
              </fill>
            </x14:dxf>
          </x14:cfRule>
          <xm:sqref>L42</xm:sqref>
        </x14:conditionalFormatting>
        <x14:conditionalFormatting xmlns:xm="http://schemas.microsoft.com/office/excel/2006/main">
          <x14:cfRule type="expression" priority="173" id="{ADE9D5AA-4887-4486-ADFB-535B6F769F2B}">
            <xm:f>入力!$B$14+1&lt;27</xm:f>
            <x14:dxf>
              <fill>
                <patternFill patternType="mediumGray"/>
              </fill>
            </x14:dxf>
          </x14:cfRule>
          <xm:sqref>M42</xm:sqref>
        </x14:conditionalFormatting>
        <x14:conditionalFormatting xmlns:xm="http://schemas.microsoft.com/office/excel/2006/main">
          <x14:cfRule type="expression" priority="172" id="{8DD66549-914C-4D48-A330-9E1E504EDB93}">
            <xm:f>入力!$B$14+2&lt;27</xm:f>
            <x14:dxf>
              <fill>
                <patternFill patternType="mediumGray"/>
              </fill>
            </x14:dxf>
          </x14:cfRule>
          <xm:sqref>N42</xm:sqref>
        </x14:conditionalFormatting>
        <x14:conditionalFormatting xmlns:xm="http://schemas.microsoft.com/office/excel/2006/main">
          <x14:cfRule type="expression" priority="171" id="{66933683-9A38-4481-B732-060178979A8F}">
            <xm:f>入力!$B$14+3&lt;27</xm:f>
            <x14:dxf>
              <fill>
                <patternFill patternType="mediumGray"/>
              </fill>
            </x14:dxf>
          </x14:cfRule>
          <xm:sqref>O42</xm:sqref>
        </x14:conditionalFormatting>
        <x14:conditionalFormatting xmlns:xm="http://schemas.microsoft.com/office/excel/2006/main">
          <x14:cfRule type="expression" priority="170" id="{33F334E7-6FAD-46B2-89B1-2DB54FC6BFFF}">
            <xm:f>入力!$B$14+4&lt;27</xm:f>
            <x14:dxf>
              <fill>
                <patternFill patternType="mediumGray"/>
              </fill>
            </x14:dxf>
          </x14:cfRule>
          <xm:sqref>P42</xm:sqref>
        </x14:conditionalFormatting>
        <x14:conditionalFormatting xmlns:xm="http://schemas.microsoft.com/office/excel/2006/main">
          <x14:cfRule type="expression" priority="265" id="{9C3E2CDB-A690-4695-84FA-C69476E117A1}">
            <xm:f>入力!$B$14-3&lt;27</xm:f>
            <x14:dxf>
              <fill>
                <patternFill patternType="mediumGray"/>
              </fill>
            </x14:dxf>
          </x14:cfRule>
          <xm:sqref>I43</xm:sqref>
        </x14:conditionalFormatting>
        <x14:conditionalFormatting xmlns:xm="http://schemas.microsoft.com/office/excel/2006/main">
          <x14:cfRule type="expression" priority="264" id="{B408D235-F6EC-4BF2-A8E8-F9D101E12A08}">
            <xm:f>入力!$B$14-2&lt;27</xm:f>
            <x14:dxf>
              <fill>
                <patternFill patternType="mediumGray"/>
              </fill>
            </x14:dxf>
          </x14:cfRule>
          <xm:sqref>J43</xm:sqref>
        </x14:conditionalFormatting>
        <x14:conditionalFormatting xmlns:xm="http://schemas.microsoft.com/office/excel/2006/main">
          <x14:cfRule type="expression" priority="263" id="{E8507E2F-4C13-417B-A3E3-EFC11B3D0C72}">
            <xm:f>入力!$B$14-1&lt;27</xm:f>
            <x14:dxf>
              <fill>
                <patternFill patternType="mediumGray"/>
              </fill>
            </x14:dxf>
          </x14:cfRule>
          <xm:sqref>K43</xm:sqref>
        </x14:conditionalFormatting>
        <x14:conditionalFormatting xmlns:xm="http://schemas.microsoft.com/office/excel/2006/main">
          <x14:cfRule type="expression" priority="262" id="{E808B81A-12E2-45AE-AD09-7C12CA7C138B}">
            <xm:f>入力!$B$14&lt;27</xm:f>
            <x14:dxf>
              <fill>
                <patternFill patternType="mediumGray"/>
              </fill>
            </x14:dxf>
          </x14:cfRule>
          <xm:sqref>L43</xm:sqref>
        </x14:conditionalFormatting>
        <x14:conditionalFormatting xmlns:xm="http://schemas.microsoft.com/office/excel/2006/main">
          <x14:cfRule type="expression" priority="261" id="{9F4A11CB-2AD5-4254-A793-2EDC4F8B297F}">
            <xm:f>入力!$B$14+1&lt;27</xm:f>
            <x14:dxf>
              <fill>
                <patternFill patternType="mediumGray"/>
              </fill>
            </x14:dxf>
          </x14:cfRule>
          <xm:sqref>M43</xm:sqref>
        </x14:conditionalFormatting>
        <x14:conditionalFormatting xmlns:xm="http://schemas.microsoft.com/office/excel/2006/main">
          <x14:cfRule type="expression" priority="260" id="{A4FBFBB2-43B3-496E-8186-CB884357DBDE}">
            <xm:f>入力!$B$14+2&lt;27</xm:f>
            <x14:dxf>
              <fill>
                <patternFill patternType="mediumGray"/>
              </fill>
            </x14:dxf>
          </x14:cfRule>
          <xm:sqref>N43</xm:sqref>
        </x14:conditionalFormatting>
        <x14:conditionalFormatting xmlns:xm="http://schemas.microsoft.com/office/excel/2006/main">
          <x14:cfRule type="expression" priority="259" id="{D09613B9-04B6-44A6-AEC2-6B76FB711D34}">
            <xm:f>入力!$B$14+3&lt;27</xm:f>
            <x14:dxf>
              <fill>
                <patternFill patternType="mediumGray"/>
              </fill>
            </x14:dxf>
          </x14:cfRule>
          <xm:sqref>O43</xm:sqref>
        </x14:conditionalFormatting>
        <x14:conditionalFormatting xmlns:xm="http://schemas.microsoft.com/office/excel/2006/main">
          <x14:cfRule type="expression" priority="258" id="{8092B881-4AF6-4952-9326-4A3F26BAC2B3}">
            <xm:f>入力!$B$14+4&lt;27</xm:f>
            <x14:dxf>
              <fill>
                <patternFill patternType="mediumGray"/>
              </fill>
            </x14:dxf>
          </x14:cfRule>
          <xm:sqref>P43</xm:sqref>
        </x14:conditionalFormatting>
        <x14:conditionalFormatting xmlns:xm="http://schemas.microsoft.com/office/excel/2006/main">
          <x14:cfRule type="expression" priority="257" id="{8C123887-7236-429C-BEF0-3E2DC02AE6D0}">
            <xm:f>入力!$B$14-3&lt;27</xm:f>
            <x14:dxf>
              <fill>
                <patternFill patternType="mediumGray"/>
              </fill>
            </x14:dxf>
          </x14:cfRule>
          <xm:sqref>I44</xm:sqref>
        </x14:conditionalFormatting>
        <x14:conditionalFormatting xmlns:xm="http://schemas.microsoft.com/office/excel/2006/main">
          <x14:cfRule type="expression" priority="256" id="{59A26641-DEDB-4A5D-8E31-2B65345D1FD3}">
            <xm:f>入力!$B$14-2&lt;27</xm:f>
            <x14:dxf>
              <fill>
                <patternFill patternType="mediumGray"/>
              </fill>
            </x14:dxf>
          </x14:cfRule>
          <xm:sqref>J44</xm:sqref>
        </x14:conditionalFormatting>
        <x14:conditionalFormatting xmlns:xm="http://schemas.microsoft.com/office/excel/2006/main">
          <x14:cfRule type="expression" priority="255" id="{95AD3FB3-7B72-4267-A7FE-C44D88A5F045}">
            <xm:f>入力!$B$14-1&lt;27</xm:f>
            <x14:dxf>
              <fill>
                <patternFill patternType="mediumGray"/>
              </fill>
            </x14:dxf>
          </x14:cfRule>
          <xm:sqref>K44</xm:sqref>
        </x14:conditionalFormatting>
        <x14:conditionalFormatting xmlns:xm="http://schemas.microsoft.com/office/excel/2006/main">
          <x14:cfRule type="expression" priority="254" id="{87C81E0A-CBF7-4245-804B-C893773CB229}">
            <xm:f>入力!$B$14&lt;27</xm:f>
            <x14:dxf>
              <fill>
                <patternFill patternType="mediumGray"/>
              </fill>
            </x14:dxf>
          </x14:cfRule>
          <xm:sqref>L44</xm:sqref>
        </x14:conditionalFormatting>
        <x14:conditionalFormatting xmlns:xm="http://schemas.microsoft.com/office/excel/2006/main">
          <x14:cfRule type="expression" priority="253" id="{77DFB1FA-5FBB-4A99-8350-14A8A6163359}">
            <xm:f>入力!$B$14+1&lt;27</xm:f>
            <x14:dxf>
              <fill>
                <patternFill patternType="mediumGray"/>
              </fill>
            </x14:dxf>
          </x14:cfRule>
          <xm:sqref>M44</xm:sqref>
        </x14:conditionalFormatting>
        <x14:conditionalFormatting xmlns:xm="http://schemas.microsoft.com/office/excel/2006/main">
          <x14:cfRule type="expression" priority="252" id="{B7397710-3616-4109-9D3D-BF66DB4AB448}">
            <xm:f>入力!$B$14+2&lt;27</xm:f>
            <x14:dxf>
              <fill>
                <patternFill patternType="mediumGray"/>
              </fill>
            </x14:dxf>
          </x14:cfRule>
          <xm:sqref>N44</xm:sqref>
        </x14:conditionalFormatting>
        <x14:conditionalFormatting xmlns:xm="http://schemas.microsoft.com/office/excel/2006/main">
          <x14:cfRule type="expression" priority="251" id="{303DA130-B8D7-42B5-ADCC-786008E797A7}">
            <xm:f>入力!$B$14+3&lt;27</xm:f>
            <x14:dxf>
              <fill>
                <patternFill patternType="mediumGray"/>
              </fill>
            </x14:dxf>
          </x14:cfRule>
          <xm:sqref>O44</xm:sqref>
        </x14:conditionalFormatting>
        <x14:conditionalFormatting xmlns:xm="http://schemas.microsoft.com/office/excel/2006/main">
          <x14:cfRule type="expression" priority="250" id="{F88C5383-3096-483A-9B26-48ED092564CC}">
            <xm:f>入力!$B$14+4&lt;27</xm:f>
            <x14:dxf>
              <fill>
                <patternFill patternType="mediumGray"/>
              </fill>
            </x14:dxf>
          </x14:cfRule>
          <xm:sqref>P44</xm:sqref>
        </x14:conditionalFormatting>
        <x14:conditionalFormatting xmlns:xm="http://schemas.microsoft.com/office/excel/2006/main">
          <x14:cfRule type="expression" priority="249" id="{AE3C4FB4-5184-4CB7-909E-12BAC551CA0B}">
            <xm:f>入力!$B$14-3&lt;27</xm:f>
            <x14:dxf>
              <fill>
                <patternFill patternType="mediumGray"/>
              </fill>
            </x14:dxf>
          </x14:cfRule>
          <xm:sqref>I47</xm:sqref>
        </x14:conditionalFormatting>
        <x14:conditionalFormatting xmlns:xm="http://schemas.microsoft.com/office/excel/2006/main">
          <x14:cfRule type="expression" priority="248" id="{39F8C150-5EA0-4297-B016-E8EF15C25F5B}">
            <xm:f>入力!$B$14-2&lt;27</xm:f>
            <x14:dxf>
              <fill>
                <patternFill patternType="mediumGray"/>
              </fill>
            </x14:dxf>
          </x14:cfRule>
          <xm:sqref>J47</xm:sqref>
        </x14:conditionalFormatting>
        <x14:conditionalFormatting xmlns:xm="http://schemas.microsoft.com/office/excel/2006/main">
          <x14:cfRule type="expression" priority="247" id="{843A3E44-DCC2-4D66-B631-FAA33E98B091}">
            <xm:f>入力!$B$14-1&lt;27</xm:f>
            <x14:dxf>
              <fill>
                <patternFill patternType="mediumGray"/>
              </fill>
            </x14:dxf>
          </x14:cfRule>
          <xm:sqref>K47</xm:sqref>
        </x14:conditionalFormatting>
        <x14:conditionalFormatting xmlns:xm="http://schemas.microsoft.com/office/excel/2006/main">
          <x14:cfRule type="expression" priority="246" id="{C7CB421A-1BCB-4263-9098-BD2329D35506}">
            <xm:f>入力!$B$14&lt;27</xm:f>
            <x14:dxf>
              <fill>
                <patternFill patternType="mediumGray"/>
              </fill>
            </x14:dxf>
          </x14:cfRule>
          <xm:sqref>L47</xm:sqref>
        </x14:conditionalFormatting>
        <x14:conditionalFormatting xmlns:xm="http://schemas.microsoft.com/office/excel/2006/main">
          <x14:cfRule type="expression" priority="245" id="{AFA726D7-0FC8-4132-8D33-0DF33601B46C}">
            <xm:f>入力!$B$14+1&lt;27</xm:f>
            <x14:dxf>
              <fill>
                <patternFill patternType="mediumGray"/>
              </fill>
            </x14:dxf>
          </x14:cfRule>
          <xm:sqref>M47</xm:sqref>
        </x14:conditionalFormatting>
        <x14:conditionalFormatting xmlns:xm="http://schemas.microsoft.com/office/excel/2006/main">
          <x14:cfRule type="expression" priority="244" id="{9222E155-AF17-4E92-B662-E521A78110E3}">
            <xm:f>入力!$B$14+2&lt;27</xm:f>
            <x14:dxf>
              <fill>
                <patternFill patternType="mediumGray"/>
              </fill>
            </x14:dxf>
          </x14:cfRule>
          <xm:sqref>N47</xm:sqref>
        </x14:conditionalFormatting>
        <x14:conditionalFormatting xmlns:xm="http://schemas.microsoft.com/office/excel/2006/main">
          <x14:cfRule type="expression" priority="243" id="{7A3E1F0B-4088-43FB-AF47-3432F03DD59D}">
            <xm:f>入力!$B$14+3&lt;27</xm:f>
            <x14:dxf>
              <fill>
                <patternFill patternType="mediumGray"/>
              </fill>
            </x14:dxf>
          </x14:cfRule>
          <xm:sqref>O47</xm:sqref>
        </x14:conditionalFormatting>
        <x14:conditionalFormatting xmlns:xm="http://schemas.microsoft.com/office/excel/2006/main">
          <x14:cfRule type="expression" priority="90" id="{6B84E368-60DD-4FBA-8B4E-EF2971BBA074}">
            <xm:f>入力!$B$14+4&lt;27</xm:f>
            <x14:dxf>
              <fill>
                <patternFill patternType="mediumGray"/>
              </fill>
            </x14:dxf>
          </x14:cfRule>
          <xm:sqref>P61</xm:sqref>
        </x14:conditionalFormatting>
        <x14:conditionalFormatting xmlns:xm="http://schemas.microsoft.com/office/excel/2006/main">
          <x14:cfRule type="expression" priority="241" id="{9DB6B1EB-9D88-4BF4-9DCA-4ACDE63CBE82}">
            <xm:f>入力!$B$14-3&lt;27</xm:f>
            <x14:dxf>
              <fill>
                <patternFill patternType="mediumGray"/>
              </fill>
            </x14:dxf>
          </x14:cfRule>
          <xm:sqref>I45</xm:sqref>
        </x14:conditionalFormatting>
        <x14:conditionalFormatting xmlns:xm="http://schemas.microsoft.com/office/excel/2006/main">
          <x14:cfRule type="expression" priority="240" id="{F83811A0-FFE5-46CC-A977-D23414B23485}">
            <xm:f>入力!$B$14-2&lt;27</xm:f>
            <x14:dxf>
              <fill>
                <patternFill patternType="mediumGray"/>
              </fill>
            </x14:dxf>
          </x14:cfRule>
          <xm:sqref>J45</xm:sqref>
        </x14:conditionalFormatting>
        <x14:conditionalFormatting xmlns:xm="http://schemas.microsoft.com/office/excel/2006/main">
          <x14:cfRule type="expression" priority="239" id="{92D255CF-58D7-4627-80F6-5339B44C3E14}">
            <xm:f>入力!$B$14-1&lt;27</xm:f>
            <x14:dxf>
              <fill>
                <patternFill patternType="mediumGray"/>
              </fill>
            </x14:dxf>
          </x14:cfRule>
          <xm:sqref>K45</xm:sqref>
        </x14:conditionalFormatting>
        <x14:conditionalFormatting xmlns:xm="http://schemas.microsoft.com/office/excel/2006/main">
          <x14:cfRule type="expression" priority="238" id="{96A7B481-B6DA-4319-B977-F564A01A6DD7}">
            <xm:f>入力!$B$14&lt;27</xm:f>
            <x14:dxf>
              <fill>
                <patternFill patternType="mediumGray"/>
              </fill>
            </x14:dxf>
          </x14:cfRule>
          <xm:sqref>L45</xm:sqref>
        </x14:conditionalFormatting>
        <x14:conditionalFormatting xmlns:xm="http://schemas.microsoft.com/office/excel/2006/main">
          <x14:cfRule type="expression" priority="237" id="{712E05E6-91E1-464B-B399-F452DC4A7355}">
            <xm:f>入力!$B$14+1&lt;27</xm:f>
            <x14:dxf>
              <fill>
                <patternFill patternType="mediumGray"/>
              </fill>
            </x14:dxf>
          </x14:cfRule>
          <xm:sqref>M45</xm:sqref>
        </x14:conditionalFormatting>
        <x14:conditionalFormatting xmlns:xm="http://schemas.microsoft.com/office/excel/2006/main">
          <x14:cfRule type="expression" priority="236" id="{611C31F9-8932-461A-AFC3-E485808A6503}">
            <xm:f>入力!$B$14+2&lt;27</xm:f>
            <x14:dxf>
              <fill>
                <patternFill patternType="mediumGray"/>
              </fill>
            </x14:dxf>
          </x14:cfRule>
          <xm:sqref>N45</xm:sqref>
        </x14:conditionalFormatting>
        <x14:conditionalFormatting xmlns:xm="http://schemas.microsoft.com/office/excel/2006/main">
          <x14:cfRule type="expression" priority="235" id="{572F829F-7A2A-471B-8712-43A7567A842E}">
            <xm:f>入力!$B$14+3&lt;27</xm:f>
            <x14:dxf>
              <fill>
                <patternFill patternType="mediumGray"/>
              </fill>
            </x14:dxf>
          </x14:cfRule>
          <xm:sqref>O45</xm:sqref>
        </x14:conditionalFormatting>
        <x14:conditionalFormatting xmlns:xm="http://schemas.microsoft.com/office/excel/2006/main">
          <x14:cfRule type="expression" priority="234" id="{CB3143BB-C078-4DB6-8E6A-E315A64F6600}">
            <xm:f>入力!$B$14+4&lt;27</xm:f>
            <x14:dxf>
              <fill>
                <patternFill patternType="mediumGray"/>
              </fill>
            </x14:dxf>
          </x14:cfRule>
          <xm:sqref>P45</xm:sqref>
        </x14:conditionalFormatting>
        <x14:conditionalFormatting xmlns:xm="http://schemas.microsoft.com/office/excel/2006/main">
          <x14:cfRule type="expression" priority="233" id="{034F4828-3050-47A0-A0D9-B8CC223824D0}">
            <xm:f>入力!$B$14-3&lt;27</xm:f>
            <x14:dxf>
              <fill>
                <patternFill patternType="mediumGray"/>
              </fill>
            </x14:dxf>
          </x14:cfRule>
          <xm:sqref>I46</xm:sqref>
        </x14:conditionalFormatting>
        <x14:conditionalFormatting xmlns:xm="http://schemas.microsoft.com/office/excel/2006/main">
          <x14:cfRule type="expression" priority="232" id="{9F43BB55-9734-4923-A82B-A5158F1F58D5}">
            <xm:f>入力!$B$14-2&lt;27</xm:f>
            <x14:dxf>
              <fill>
                <patternFill patternType="mediumGray"/>
              </fill>
            </x14:dxf>
          </x14:cfRule>
          <xm:sqref>J46</xm:sqref>
        </x14:conditionalFormatting>
        <x14:conditionalFormatting xmlns:xm="http://schemas.microsoft.com/office/excel/2006/main">
          <x14:cfRule type="expression" priority="231" id="{B3C4F032-83CC-41EF-A738-AD85C4A6DCAE}">
            <xm:f>入力!$B$14-1&lt;27</xm:f>
            <x14:dxf>
              <fill>
                <patternFill patternType="mediumGray"/>
              </fill>
            </x14:dxf>
          </x14:cfRule>
          <xm:sqref>K46</xm:sqref>
        </x14:conditionalFormatting>
        <x14:conditionalFormatting xmlns:xm="http://schemas.microsoft.com/office/excel/2006/main">
          <x14:cfRule type="expression" priority="230" id="{054FDBF8-3058-4C9A-94E2-0CF899C37D69}">
            <xm:f>入力!$B$14&lt;27</xm:f>
            <x14:dxf>
              <fill>
                <patternFill patternType="mediumGray"/>
              </fill>
            </x14:dxf>
          </x14:cfRule>
          <xm:sqref>L46</xm:sqref>
        </x14:conditionalFormatting>
        <x14:conditionalFormatting xmlns:xm="http://schemas.microsoft.com/office/excel/2006/main">
          <x14:cfRule type="expression" priority="229" id="{808DD9D8-82CF-4C97-B03E-8371E88FBDC4}">
            <xm:f>入力!$B$14+1&lt;27</xm:f>
            <x14:dxf>
              <fill>
                <patternFill patternType="mediumGray"/>
              </fill>
            </x14:dxf>
          </x14:cfRule>
          <xm:sqref>M46</xm:sqref>
        </x14:conditionalFormatting>
        <x14:conditionalFormatting xmlns:xm="http://schemas.microsoft.com/office/excel/2006/main">
          <x14:cfRule type="expression" priority="228" id="{36933B5B-4297-4D0A-B68E-178533466F7E}">
            <xm:f>入力!$B$14+2&lt;27</xm:f>
            <x14:dxf>
              <fill>
                <patternFill patternType="mediumGray"/>
              </fill>
            </x14:dxf>
          </x14:cfRule>
          <xm:sqref>N46</xm:sqref>
        </x14:conditionalFormatting>
        <x14:conditionalFormatting xmlns:xm="http://schemas.microsoft.com/office/excel/2006/main">
          <x14:cfRule type="expression" priority="227" id="{212069D4-A7A9-4C88-873A-D9F0C32516FE}">
            <xm:f>入力!$B$14+3&lt;27</xm:f>
            <x14:dxf>
              <fill>
                <patternFill patternType="mediumGray"/>
              </fill>
            </x14:dxf>
          </x14:cfRule>
          <xm:sqref>O46</xm:sqref>
        </x14:conditionalFormatting>
        <x14:conditionalFormatting xmlns:xm="http://schemas.microsoft.com/office/excel/2006/main">
          <x14:cfRule type="expression" priority="226" id="{51CC10B1-6F64-452D-8092-9B9D14DCC485}">
            <xm:f>入力!$B$14+4&lt;27</xm:f>
            <x14:dxf>
              <fill>
                <patternFill patternType="mediumGray"/>
              </fill>
            </x14:dxf>
          </x14:cfRule>
          <xm:sqref>P46</xm:sqref>
        </x14:conditionalFormatting>
        <x14:conditionalFormatting xmlns:xm="http://schemas.microsoft.com/office/excel/2006/main">
          <x14:cfRule type="expression" priority="225" id="{65CD7B21-516D-43A2-9412-91898A56A2FC}">
            <xm:f>入力!$B$14-3&lt;27</xm:f>
            <x14:dxf>
              <fill>
                <patternFill patternType="mediumGray"/>
              </fill>
            </x14:dxf>
          </x14:cfRule>
          <xm:sqref>I48</xm:sqref>
        </x14:conditionalFormatting>
        <x14:conditionalFormatting xmlns:xm="http://schemas.microsoft.com/office/excel/2006/main">
          <x14:cfRule type="expression" priority="224" id="{E0B84911-20AF-4834-84C8-E71A96D3062B}">
            <xm:f>入力!$B$14-2&lt;27</xm:f>
            <x14:dxf>
              <fill>
                <patternFill patternType="mediumGray"/>
              </fill>
            </x14:dxf>
          </x14:cfRule>
          <xm:sqref>J48</xm:sqref>
        </x14:conditionalFormatting>
        <x14:conditionalFormatting xmlns:xm="http://schemas.microsoft.com/office/excel/2006/main">
          <x14:cfRule type="expression" priority="223" id="{62437725-A741-455E-B3F0-B06F71C0E003}">
            <xm:f>入力!$B$14-1&lt;27</xm:f>
            <x14:dxf>
              <fill>
                <patternFill patternType="mediumGray"/>
              </fill>
            </x14:dxf>
          </x14:cfRule>
          <xm:sqref>K48</xm:sqref>
        </x14:conditionalFormatting>
        <x14:conditionalFormatting xmlns:xm="http://schemas.microsoft.com/office/excel/2006/main">
          <x14:cfRule type="expression" priority="210" id="{3E82CECF-52BB-49AD-B28C-BDE3AE8D87C5}">
            <xm:f>入力!$B$14+4&lt;27</xm:f>
            <x14:dxf>
              <fill>
                <patternFill patternType="mediumGray"/>
              </fill>
            </x14:dxf>
          </x14:cfRule>
          <xm:sqref>P49</xm:sqref>
        </x14:conditionalFormatting>
        <x14:conditionalFormatting xmlns:xm="http://schemas.microsoft.com/office/excel/2006/main">
          <x14:cfRule type="expression" priority="217" id="{9BA28B21-9501-4498-9D20-101988D38F74}">
            <xm:f>入力!$B$14-3&lt;27</xm:f>
            <x14:dxf>
              <fill>
                <patternFill patternType="mediumGray"/>
              </fill>
            </x14:dxf>
          </x14:cfRule>
          <xm:sqref>I49</xm:sqref>
        </x14:conditionalFormatting>
        <x14:conditionalFormatting xmlns:xm="http://schemas.microsoft.com/office/excel/2006/main">
          <x14:cfRule type="expression" priority="216" id="{A20C3830-F657-47CB-8087-884EDFE18C7F}">
            <xm:f>入力!$B$14-2&lt;27</xm:f>
            <x14:dxf>
              <fill>
                <patternFill patternType="mediumGray"/>
              </fill>
            </x14:dxf>
          </x14:cfRule>
          <xm:sqref>J49</xm:sqref>
        </x14:conditionalFormatting>
        <x14:conditionalFormatting xmlns:xm="http://schemas.microsoft.com/office/excel/2006/main">
          <x14:cfRule type="expression" priority="215" id="{086F5B1F-52F1-4F44-88B9-592C7B17F22E}">
            <xm:f>入力!$B$14-1&lt;27</xm:f>
            <x14:dxf>
              <fill>
                <patternFill patternType="mediumGray"/>
              </fill>
            </x14:dxf>
          </x14:cfRule>
          <xm:sqref>K49</xm:sqref>
        </x14:conditionalFormatting>
        <x14:conditionalFormatting xmlns:xm="http://schemas.microsoft.com/office/excel/2006/main">
          <x14:cfRule type="expression" priority="214" id="{902629E7-39A0-4852-A893-724976B8D93F}">
            <xm:f>入力!$B$14&lt;27</xm:f>
            <x14:dxf>
              <fill>
                <patternFill patternType="mediumGray"/>
              </fill>
            </x14:dxf>
          </x14:cfRule>
          <xm:sqref>L49</xm:sqref>
        </x14:conditionalFormatting>
        <x14:conditionalFormatting xmlns:xm="http://schemas.microsoft.com/office/excel/2006/main">
          <x14:cfRule type="expression" priority="213" id="{DE496BEC-9CBC-4E4E-BAE3-66566BA64D15}">
            <xm:f>入力!$B$14+1&lt;27</xm:f>
            <x14:dxf>
              <fill>
                <patternFill patternType="mediumGray"/>
              </fill>
            </x14:dxf>
          </x14:cfRule>
          <xm:sqref>M49</xm:sqref>
        </x14:conditionalFormatting>
        <x14:conditionalFormatting xmlns:xm="http://schemas.microsoft.com/office/excel/2006/main">
          <x14:cfRule type="expression" priority="212" id="{F714D8E6-5A21-4CBC-86B8-81E0ABD11653}">
            <xm:f>入力!$B$14+2&lt;27</xm:f>
            <x14:dxf>
              <fill>
                <patternFill patternType="mediumGray"/>
              </fill>
            </x14:dxf>
          </x14:cfRule>
          <xm:sqref>N49</xm:sqref>
        </x14:conditionalFormatting>
        <x14:conditionalFormatting xmlns:xm="http://schemas.microsoft.com/office/excel/2006/main">
          <x14:cfRule type="expression" priority="211" id="{BA464071-DF41-4857-A332-639DF74EB0D0}">
            <xm:f>入力!$B$14+3&lt;27</xm:f>
            <x14:dxf>
              <fill>
                <patternFill patternType="mediumGray"/>
              </fill>
            </x14:dxf>
          </x14:cfRule>
          <xm:sqref>O49</xm:sqref>
        </x14:conditionalFormatting>
        <x14:conditionalFormatting xmlns:xm="http://schemas.microsoft.com/office/excel/2006/main">
          <x14:cfRule type="expression" priority="202" id="{3FA983D1-7745-4654-82D4-40FD07FF64F1}">
            <xm:f>入力!$B$14+4&lt;27</xm:f>
            <x14:dxf>
              <fill>
                <patternFill patternType="mediumGray"/>
              </fill>
            </x14:dxf>
          </x14:cfRule>
          <xm:sqref>P50</xm:sqref>
        </x14:conditionalFormatting>
        <x14:conditionalFormatting xmlns:xm="http://schemas.microsoft.com/office/excel/2006/main">
          <x14:cfRule type="expression" priority="209" id="{47B6E665-CAB3-4BC6-BADA-92864E74B13C}">
            <xm:f>入力!$B$14-3&lt;27</xm:f>
            <x14:dxf>
              <fill>
                <patternFill patternType="mediumGray"/>
              </fill>
            </x14:dxf>
          </x14:cfRule>
          <xm:sqref>I50</xm:sqref>
        </x14:conditionalFormatting>
        <x14:conditionalFormatting xmlns:xm="http://schemas.microsoft.com/office/excel/2006/main">
          <x14:cfRule type="expression" priority="208" id="{5339A23C-C7F0-4D7A-B7FD-F566585439B6}">
            <xm:f>入力!$B$14-2&lt;27</xm:f>
            <x14:dxf>
              <fill>
                <patternFill patternType="mediumGray"/>
              </fill>
            </x14:dxf>
          </x14:cfRule>
          <xm:sqref>J50</xm:sqref>
        </x14:conditionalFormatting>
        <x14:conditionalFormatting xmlns:xm="http://schemas.microsoft.com/office/excel/2006/main">
          <x14:cfRule type="expression" priority="207" id="{455FCB9A-AC1C-4257-AB1B-E083F29DAECF}">
            <xm:f>入力!$B$14-1&lt;27</xm:f>
            <x14:dxf>
              <fill>
                <patternFill patternType="mediumGray"/>
              </fill>
            </x14:dxf>
          </x14:cfRule>
          <xm:sqref>K50</xm:sqref>
        </x14:conditionalFormatting>
        <x14:conditionalFormatting xmlns:xm="http://schemas.microsoft.com/office/excel/2006/main">
          <x14:cfRule type="expression" priority="206" id="{FD982019-BB51-40E5-84C6-67D6A195F15A}">
            <xm:f>入力!$B$14&lt;27</xm:f>
            <x14:dxf>
              <fill>
                <patternFill patternType="mediumGray"/>
              </fill>
            </x14:dxf>
          </x14:cfRule>
          <xm:sqref>L50</xm:sqref>
        </x14:conditionalFormatting>
        <x14:conditionalFormatting xmlns:xm="http://schemas.microsoft.com/office/excel/2006/main">
          <x14:cfRule type="expression" priority="205" id="{A261CD31-B0AB-4DB2-8444-C9E66E003A02}">
            <xm:f>入力!$B$14+1&lt;27</xm:f>
            <x14:dxf>
              <fill>
                <patternFill patternType="mediumGray"/>
              </fill>
            </x14:dxf>
          </x14:cfRule>
          <xm:sqref>M50</xm:sqref>
        </x14:conditionalFormatting>
        <x14:conditionalFormatting xmlns:xm="http://schemas.microsoft.com/office/excel/2006/main">
          <x14:cfRule type="expression" priority="204" id="{2E303941-EFB3-4815-962E-1AC74DB40205}">
            <xm:f>入力!$B$14+2&lt;27</xm:f>
            <x14:dxf>
              <fill>
                <patternFill patternType="mediumGray"/>
              </fill>
            </x14:dxf>
          </x14:cfRule>
          <xm:sqref>N50</xm:sqref>
        </x14:conditionalFormatting>
        <x14:conditionalFormatting xmlns:xm="http://schemas.microsoft.com/office/excel/2006/main">
          <x14:cfRule type="expression" priority="203" id="{11C9100E-325D-4056-94A7-94E025E8CD8E}">
            <xm:f>入力!$B$14+3&lt;27</xm:f>
            <x14:dxf>
              <fill>
                <patternFill patternType="mediumGray"/>
              </fill>
            </x14:dxf>
          </x14:cfRule>
          <xm:sqref>O50</xm:sqref>
        </x14:conditionalFormatting>
        <x14:conditionalFormatting xmlns:xm="http://schemas.microsoft.com/office/excel/2006/main">
          <x14:cfRule type="expression" priority="194" id="{F2B5A7D1-241A-4F6F-AD71-ABB76A444CB3}">
            <xm:f>入力!$B$14+4&lt;27</xm:f>
            <x14:dxf>
              <fill>
                <patternFill patternType="mediumGray"/>
              </fill>
            </x14:dxf>
          </x14:cfRule>
          <xm:sqref>P51</xm:sqref>
        </x14:conditionalFormatting>
        <x14:conditionalFormatting xmlns:xm="http://schemas.microsoft.com/office/excel/2006/main">
          <x14:cfRule type="expression" priority="201" id="{DF3E398F-5B17-4DD9-B3AF-D98585DBF722}">
            <xm:f>入力!$B$14-3&lt;27</xm:f>
            <x14:dxf>
              <fill>
                <patternFill patternType="mediumGray"/>
              </fill>
            </x14:dxf>
          </x14:cfRule>
          <xm:sqref>I51</xm:sqref>
        </x14:conditionalFormatting>
        <x14:conditionalFormatting xmlns:xm="http://schemas.microsoft.com/office/excel/2006/main">
          <x14:cfRule type="expression" priority="200" id="{20CDA224-E4F2-4450-BECC-3167E3263743}">
            <xm:f>入力!$B$14-2&lt;27</xm:f>
            <x14:dxf>
              <fill>
                <patternFill patternType="mediumGray"/>
              </fill>
            </x14:dxf>
          </x14:cfRule>
          <xm:sqref>J51</xm:sqref>
        </x14:conditionalFormatting>
        <x14:conditionalFormatting xmlns:xm="http://schemas.microsoft.com/office/excel/2006/main">
          <x14:cfRule type="expression" priority="199" id="{BCB10F02-198A-45C3-B36B-0F266C8BC097}">
            <xm:f>入力!$B$14-1&lt;27</xm:f>
            <x14:dxf>
              <fill>
                <patternFill patternType="mediumGray"/>
              </fill>
            </x14:dxf>
          </x14:cfRule>
          <xm:sqref>K51</xm:sqref>
        </x14:conditionalFormatting>
        <x14:conditionalFormatting xmlns:xm="http://schemas.microsoft.com/office/excel/2006/main">
          <x14:cfRule type="expression" priority="198" id="{21A8C0D5-6203-4630-9FAE-983622A4BE0E}">
            <xm:f>入力!$B$14&lt;27</xm:f>
            <x14:dxf>
              <fill>
                <patternFill patternType="mediumGray"/>
              </fill>
            </x14:dxf>
          </x14:cfRule>
          <xm:sqref>L51</xm:sqref>
        </x14:conditionalFormatting>
        <x14:conditionalFormatting xmlns:xm="http://schemas.microsoft.com/office/excel/2006/main">
          <x14:cfRule type="expression" priority="197" id="{4E808B9F-8FEA-4EB2-AE81-90B0406F94D2}">
            <xm:f>入力!$B$14+1&lt;27</xm:f>
            <x14:dxf>
              <fill>
                <patternFill patternType="mediumGray"/>
              </fill>
            </x14:dxf>
          </x14:cfRule>
          <xm:sqref>M51</xm:sqref>
        </x14:conditionalFormatting>
        <x14:conditionalFormatting xmlns:xm="http://schemas.microsoft.com/office/excel/2006/main">
          <x14:cfRule type="expression" priority="196" id="{A82AD89D-ED51-4DD6-A2C2-1FE1389A2262}">
            <xm:f>入力!$B$14+2&lt;27</xm:f>
            <x14:dxf>
              <fill>
                <patternFill patternType="mediumGray"/>
              </fill>
            </x14:dxf>
          </x14:cfRule>
          <xm:sqref>N51</xm:sqref>
        </x14:conditionalFormatting>
        <x14:conditionalFormatting xmlns:xm="http://schemas.microsoft.com/office/excel/2006/main">
          <x14:cfRule type="expression" priority="195" id="{B594CD30-7CD4-49ED-A413-34098109B8DC}">
            <xm:f>入力!$B$14+3&lt;27</xm:f>
            <x14:dxf>
              <fill>
                <patternFill patternType="mediumGray"/>
              </fill>
            </x14:dxf>
          </x14:cfRule>
          <xm:sqref>O51</xm:sqref>
        </x14:conditionalFormatting>
        <x14:conditionalFormatting xmlns:xm="http://schemas.microsoft.com/office/excel/2006/main">
          <x14:cfRule type="expression" priority="106" id="{D2174AEB-77D0-494C-85D3-B372704F405B}">
            <xm:f>入力!$B$14+4&lt;27</xm:f>
            <x14:dxf>
              <fill>
                <patternFill patternType="mediumGray"/>
              </fill>
            </x14:dxf>
          </x14:cfRule>
          <xm:sqref>P59</xm:sqref>
        </x14:conditionalFormatting>
        <x14:conditionalFormatting xmlns:xm="http://schemas.microsoft.com/office/excel/2006/main">
          <x14:cfRule type="expression" priority="113" id="{D580FD47-B578-4AE6-85EE-7295A37720E3}">
            <xm:f>入力!$B$14-3&lt;27</xm:f>
            <x14:dxf>
              <fill>
                <patternFill patternType="mediumGray"/>
              </fill>
            </x14:dxf>
          </x14:cfRule>
          <xm:sqref>I59</xm:sqref>
        </x14:conditionalFormatting>
        <x14:conditionalFormatting xmlns:xm="http://schemas.microsoft.com/office/excel/2006/main">
          <x14:cfRule type="expression" priority="112" id="{532B5923-97AF-48DD-9B3F-8DB0E692A69E}">
            <xm:f>入力!$B$14-2&lt;27</xm:f>
            <x14:dxf>
              <fill>
                <patternFill patternType="mediumGray"/>
              </fill>
            </x14:dxf>
          </x14:cfRule>
          <xm:sqref>J59</xm:sqref>
        </x14:conditionalFormatting>
        <x14:conditionalFormatting xmlns:xm="http://schemas.microsoft.com/office/excel/2006/main">
          <x14:cfRule type="expression" priority="111" id="{003BBD60-0FFD-4961-B200-DF6A79FF300B}">
            <xm:f>入力!$B$14-1&lt;27</xm:f>
            <x14:dxf>
              <fill>
                <patternFill patternType="mediumGray"/>
              </fill>
            </x14:dxf>
          </x14:cfRule>
          <xm:sqref>K59</xm:sqref>
        </x14:conditionalFormatting>
        <x14:conditionalFormatting xmlns:xm="http://schemas.microsoft.com/office/excel/2006/main">
          <x14:cfRule type="expression" priority="110" id="{FBD9152F-8D8F-4036-800F-160709ED25A6}">
            <xm:f>入力!$B$14&lt;27</xm:f>
            <x14:dxf>
              <fill>
                <patternFill patternType="mediumGray"/>
              </fill>
            </x14:dxf>
          </x14:cfRule>
          <xm:sqref>L59</xm:sqref>
        </x14:conditionalFormatting>
        <x14:conditionalFormatting xmlns:xm="http://schemas.microsoft.com/office/excel/2006/main">
          <x14:cfRule type="expression" priority="109" id="{273CB591-2064-4759-A803-36797CF7BCCC}">
            <xm:f>入力!$B$14+1&lt;27</xm:f>
            <x14:dxf>
              <fill>
                <patternFill patternType="mediumGray"/>
              </fill>
            </x14:dxf>
          </x14:cfRule>
          <xm:sqref>M59</xm:sqref>
        </x14:conditionalFormatting>
        <x14:conditionalFormatting xmlns:xm="http://schemas.microsoft.com/office/excel/2006/main">
          <x14:cfRule type="expression" priority="108" id="{4605D4EA-5DC4-411D-A64F-77877C3C4E1A}">
            <xm:f>入力!$B$14+2&lt;27</xm:f>
            <x14:dxf>
              <fill>
                <patternFill patternType="mediumGray"/>
              </fill>
            </x14:dxf>
          </x14:cfRule>
          <xm:sqref>N59</xm:sqref>
        </x14:conditionalFormatting>
        <x14:conditionalFormatting xmlns:xm="http://schemas.microsoft.com/office/excel/2006/main">
          <x14:cfRule type="expression" priority="107" id="{BD73F1B4-2230-40D7-A3D8-7FBA898BE44C}">
            <xm:f>入力!$B$14+3&lt;27</xm:f>
            <x14:dxf>
              <fill>
                <patternFill patternType="mediumGray"/>
              </fill>
            </x14:dxf>
          </x14:cfRule>
          <xm:sqref>O59</xm:sqref>
        </x14:conditionalFormatting>
        <x14:conditionalFormatting xmlns:xm="http://schemas.microsoft.com/office/excel/2006/main">
          <x14:cfRule type="expression" priority="97" id="{6DD868EC-AD65-41F2-8942-56216F0C26B9}">
            <xm:f>入力!$B$14-3&lt;27</xm:f>
            <x14:dxf>
              <fill>
                <patternFill patternType="mediumGray"/>
              </fill>
            </x14:dxf>
          </x14:cfRule>
          <xm:sqref>I61</xm:sqref>
        </x14:conditionalFormatting>
        <x14:conditionalFormatting xmlns:xm="http://schemas.microsoft.com/office/excel/2006/main">
          <x14:cfRule type="expression" priority="96" id="{ED4597A4-9F3B-458A-9523-854950357CC6}">
            <xm:f>入力!$B$14-2&lt;27</xm:f>
            <x14:dxf>
              <fill>
                <patternFill patternType="mediumGray"/>
              </fill>
            </x14:dxf>
          </x14:cfRule>
          <xm:sqref>J61</xm:sqref>
        </x14:conditionalFormatting>
        <x14:conditionalFormatting xmlns:xm="http://schemas.microsoft.com/office/excel/2006/main">
          <x14:cfRule type="expression" priority="95" id="{1A1E5706-6875-423F-9A43-E17AD9BE8B8E}">
            <xm:f>入力!$B$14-1&lt;27</xm:f>
            <x14:dxf>
              <fill>
                <patternFill patternType="mediumGray"/>
              </fill>
            </x14:dxf>
          </x14:cfRule>
          <xm:sqref>K61</xm:sqref>
        </x14:conditionalFormatting>
        <x14:conditionalFormatting xmlns:xm="http://schemas.microsoft.com/office/excel/2006/main">
          <x14:cfRule type="expression" priority="94" id="{D5303820-2211-4D28-810A-26693AE84516}">
            <xm:f>入力!$B$14&lt;27</xm:f>
            <x14:dxf>
              <fill>
                <patternFill patternType="mediumGray"/>
              </fill>
            </x14:dxf>
          </x14:cfRule>
          <xm:sqref>L61</xm:sqref>
        </x14:conditionalFormatting>
        <x14:conditionalFormatting xmlns:xm="http://schemas.microsoft.com/office/excel/2006/main">
          <x14:cfRule type="expression" priority="93" id="{D7769803-9A65-4C12-ADFF-CC4ACFDA92BF}">
            <xm:f>入力!$B$14+1&lt;27</xm:f>
            <x14:dxf>
              <fill>
                <patternFill patternType="mediumGray"/>
              </fill>
            </x14:dxf>
          </x14:cfRule>
          <xm:sqref>M61</xm:sqref>
        </x14:conditionalFormatting>
        <x14:conditionalFormatting xmlns:xm="http://schemas.microsoft.com/office/excel/2006/main">
          <x14:cfRule type="expression" priority="92" id="{060EB3F5-3B7E-4912-BE10-0751F9B40102}">
            <xm:f>入力!$B$14+2&lt;27</xm:f>
            <x14:dxf>
              <fill>
                <patternFill patternType="mediumGray"/>
              </fill>
            </x14:dxf>
          </x14:cfRule>
          <xm:sqref>N61</xm:sqref>
        </x14:conditionalFormatting>
        <x14:conditionalFormatting xmlns:xm="http://schemas.microsoft.com/office/excel/2006/main">
          <x14:cfRule type="expression" priority="91" id="{8CDFDCC1-F2E6-42DC-8CB4-A699E6E78E66}">
            <xm:f>入力!$B$14+3&lt;27</xm:f>
            <x14:dxf>
              <fill>
                <patternFill patternType="mediumGray"/>
              </fill>
            </x14:dxf>
          </x14:cfRule>
          <xm:sqref>O61</xm:sqref>
        </x14:conditionalFormatting>
        <x14:conditionalFormatting xmlns:xm="http://schemas.microsoft.com/office/excel/2006/main">
          <x14:cfRule type="expression" priority="177" id="{15B1294B-8C70-4A4A-8134-D9120380AC9E}">
            <xm:f>入力!$B$14-3&lt;27</xm:f>
            <x14:dxf>
              <fill>
                <patternFill patternType="mediumGray"/>
              </fill>
            </x14:dxf>
          </x14:cfRule>
          <xm:sqref>I42</xm:sqref>
        </x14:conditionalFormatting>
        <x14:conditionalFormatting xmlns:xm="http://schemas.microsoft.com/office/excel/2006/main">
          <x14:cfRule type="expression" priority="162" id="{7B383DED-DA9F-43B2-BD3F-E9FF2350325A}">
            <xm:f>入力!$B$14+4&lt;27</xm:f>
            <x14:dxf>
              <fill>
                <patternFill patternType="mediumGray"/>
              </fill>
            </x14:dxf>
          </x14:cfRule>
          <xm:sqref>P52</xm:sqref>
        </x14:conditionalFormatting>
        <x14:conditionalFormatting xmlns:xm="http://schemas.microsoft.com/office/excel/2006/main">
          <x14:cfRule type="expression" priority="169" id="{6E793A47-F44F-41C1-9952-36A65AC85BC6}">
            <xm:f>入力!$B$14-3&lt;27</xm:f>
            <x14:dxf>
              <fill>
                <patternFill patternType="mediumGray"/>
              </fill>
            </x14:dxf>
          </x14:cfRule>
          <xm:sqref>I52</xm:sqref>
        </x14:conditionalFormatting>
        <x14:conditionalFormatting xmlns:xm="http://schemas.microsoft.com/office/excel/2006/main">
          <x14:cfRule type="expression" priority="168" id="{A9F41FBE-7494-45A6-897E-174CB24C6FB2}">
            <xm:f>入力!$B$14-2&lt;27</xm:f>
            <x14:dxf>
              <fill>
                <patternFill patternType="mediumGray"/>
              </fill>
            </x14:dxf>
          </x14:cfRule>
          <xm:sqref>J52</xm:sqref>
        </x14:conditionalFormatting>
        <x14:conditionalFormatting xmlns:xm="http://schemas.microsoft.com/office/excel/2006/main">
          <x14:cfRule type="expression" priority="167" id="{A3D1CF2C-CCF0-425E-982F-34BC72949B47}">
            <xm:f>入力!$B$14-1&lt;27</xm:f>
            <x14:dxf>
              <fill>
                <patternFill patternType="mediumGray"/>
              </fill>
            </x14:dxf>
          </x14:cfRule>
          <xm:sqref>K52</xm:sqref>
        </x14:conditionalFormatting>
        <x14:conditionalFormatting xmlns:xm="http://schemas.microsoft.com/office/excel/2006/main">
          <x14:cfRule type="expression" priority="166" id="{5E0200DA-FE8B-4AEE-A069-1CBDB024CABC}">
            <xm:f>入力!$B$14&lt;27</xm:f>
            <x14:dxf>
              <fill>
                <patternFill patternType="mediumGray"/>
              </fill>
            </x14:dxf>
          </x14:cfRule>
          <xm:sqref>L52</xm:sqref>
        </x14:conditionalFormatting>
        <x14:conditionalFormatting xmlns:xm="http://schemas.microsoft.com/office/excel/2006/main">
          <x14:cfRule type="expression" priority="165" id="{155AD4C1-CAAF-4ABC-BD3A-E35EADDF6159}">
            <xm:f>入力!$B$14+1&lt;27</xm:f>
            <x14:dxf>
              <fill>
                <patternFill patternType="mediumGray"/>
              </fill>
            </x14:dxf>
          </x14:cfRule>
          <xm:sqref>M52</xm:sqref>
        </x14:conditionalFormatting>
        <x14:conditionalFormatting xmlns:xm="http://schemas.microsoft.com/office/excel/2006/main">
          <x14:cfRule type="expression" priority="164" id="{6185AC70-1A1B-4234-926B-601F25044D23}">
            <xm:f>入力!$B$14+2&lt;27</xm:f>
            <x14:dxf>
              <fill>
                <patternFill patternType="mediumGray"/>
              </fill>
            </x14:dxf>
          </x14:cfRule>
          <xm:sqref>N52</xm:sqref>
        </x14:conditionalFormatting>
        <x14:conditionalFormatting xmlns:xm="http://schemas.microsoft.com/office/excel/2006/main">
          <x14:cfRule type="expression" priority="163" id="{50F16215-CBC6-4BE0-A3B8-A35C5A21183A}">
            <xm:f>入力!$B$14+3&lt;27</xm:f>
            <x14:dxf>
              <fill>
                <patternFill patternType="mediumGray"/>
              </fill>
            </x14:dxf>
          </x14:cfRule>
          <xm:sqref>O52</xm:sqref>
        </x14:conditionalFormatting>
        <x14:conditionalFormatting xmlns:xm="http://schemas.microsoft.com/office/excel/2006/main">
          <x14:cfRule type="expression" priority="154" id="{6FBFEA95-A1F8-4867-9451-C488CC553579}">
            <xm:f>入力!$B$14+4&lt;27</xm:f>
            <x14:dxf>
              <fill>
                <patternFill patternType="mediumGray"/>
              </fill>
            </x14:dxf>
          </x14:cfRule>
          <xm:sqref>P53</xm:sqref>
        </x14:conditionalFormatting>
        <x14:conditionalFormatting xmlns:xm="http://schemas.microsoft.com/office/excel/2006/main">
          <x14:cfRule type="expression" priority="161" id="{4EFA8303-FA7F-450D-8543-C3F3ABBEDDB2}">
            <xm:f>入力!$B$14-3&lt;27</xm:f>
            <x14:dxf>
              <fill>
                <patternFill patternType="mediumGray"/>
              </fill>
            </x14:dxf>
          </x14:cfRule>
          <xm:sqref>I53</xm:sqref>
        </x14:conditionalFormatting>
        <x14:conditionalFormatting xmlns:xm="http://schemas.microsoft.com/office/excel/2006/main">
          <x14:cfRule type="expression" priority="160" id="{035CF5E5-C531-427A-A5FB-3A47A7A0FDE9}">
            <xm:f>入力!$B$14-2&lt;27</xm:f>
            <x14:dxf>
              <fill>
                <patternFill patternType="mediumGray"/>
              </fill>
            </x14:dxf>
          </x14:cfRule>
          <xm:sqref>J53</xm:sqref>
        </x14:conditionalFormatting>
        <x14:conditionalFormatting xmlns:xm="http://schemas.microsoft.com/office/excel/2006/main">
          <x14:cfRule type="expression" priority="159" id="{7128DE7E-B6EC-46E2-B1A8-377F3683A399}">
            <xm:f>入力!$B$14-1&lt;27</xm:f>
            <x14:dxf>
              <fill>
                <patternFill patternType="mediumGray"/>
              </fill>
            </x14:dxf>
          </x14:cfRule>
          <xm:sqref>K53</xm:sqref>
        </x14:conditionalFormatting>
        <x14:conditionalFormatting xmlns:xm="http://schemas.microsoft.com/office/excel/2006/main">
          <x14:cfRule type="expression" priority="158" id="{1A12A676-C5B3-4B23-922F-D78530F6635B}">
            <xm:f>入力!$B$14&lt;27</xm:f>
            <x14:dxf>
              <fill>
                <patternFill patternType="mediumGray"/>
              </fill>
            </x14:dxf>
          </x14:cfRule>
          <xm:sqref>L53</xm:sqref>
        </x14:conditionalFormatting>
        <x14:conditionalFormatting xmlns:xm="http://schemas.microsoft.com/office/excel/2006/main">
          <x14:cfRule type="expression" priority="157" id="{CDEBCB9E-51D0-439C-ACF9-8C3581A04B2E}">
            <xm:f>入力!$B$14+1&lt;27</xm:f>
            <x14:dxf>
              <fill>
                <patternFill patternType="mediumGray"/>
              </fill>
            </x14:dxf>
          </x14:cfRule>
          <xm:sqref>M53</xm:sqref>
        </x14:conditionalFormatting>
        <x14:conditionalFormatting xmlns:xm="http://schemas.microsoft.com/office/excel/2006/main">
          <x14:cfRule type="expression" priority="156" id="{A472F8F7-73DA-4D80-B668-B2566747722D}">
            <xm:f>入力!$B$14+2&lt;27</xm:f>
            <x14:dxf>
              <fill>
                <patternFill patternType="mediumGray"/>
              </fill>
            </x14:dxf>
          </x14:cfRule>
          <xm:sqref>N53</xm:sqref>
        </x14:conditionalFormatting>
        <x14:conditionalFormatting xmlns:xm="http://schemas.microsoft.com/office/excel/2006/main">
          <x14:cfRule type="expression" priority="155" id="{62100CE8-B388-4500-9331-236ABAD88FFA}">
            <xm:f>入力!$B$14+3&lt;27</xm:f>
            <x14:dxf>
              <fill>
                <patternFill patternType="mediumGray"/>
              </fill>
            </x14:dxf>
          </x14:cfRule>
          <xm:sqref>O53</xm:sqref>
        </x14:conditionalFormatting>
        <x14:conditionalFormatting xmlns:xm="http://schemas.microsoft.com/office/excel/2006/main">
          <x14:cfRule type="expression" priority="146" id="{6C461EFB-BE78-45FD-A521-D19F6462597C}">
            <xm:f>入力!$B$14+4&lt;27</xm:f>
            <x14:dxf>
              <fill>
                <patternFill patternType="mediumGray"/>
              </fill>
            </x14:dxf>
          </x14:cfRule>
          <xm:sqref>P54</xm:sqref>
        </x14:conditionalFormatting>
        <x14:conditionalFormatting xmlns:xm="http://schemas.microsoft.com/office/excel/2006/main">
          <x14:cfRule type="expression" priority="153" id="{38840755-9444-4B2D-80A6-8B5871932DAF}">
            <xm:f>入力!$B$14-3&lt;27</xm:f>
            <x14:dxf>
              <fill>
                <patternFill patternType="mediumGray"/>
              </fill>
            </x14:dxf>
          </x14:cfRule>
          <xm:sqref>I54</xm:sqref>
        </x14:conditionalFormatting>
        <x14:conditionalFormatting xmlns:xm="http://schemas.microsoft.com/office/excel/2006/main">
          <x14:cfRule type="expression" priority="152" id="{D2309431-92B8-4028-B1D8-3BE57FF522F0}">
            <xm:f>入力!$B$14-2&lt;27</xm:f>
            <x14:dxf>
              <fill>
                <patternFill patternType="mediumGray"/>
              </fill>
            </x14:dxf>
          </x14:cfRule>
          <xm:sqref>J54</xm:sqref>
        </x14:conditionalFormatting>
        <x14:conditionalFormatting xmlns:xm="http://schemas.microsoft.com/office/excel/2006/main">
          <x14:cfRule type="expression" priority="151" id="{359ED88B-CA57-4120-A00A-14AD1C261D78}">
            <xm:f>入力!$B$14-1&lt;27</xm:f>
            <x14:dxf>
              <fill>
                <patternFill patternType="mediumGray"/>
              </fill>
            </x14:dxf>
          </x14:cfRule>
          <xm:sqref>K54</xm:sqref>
        </x14:conditionalFormatting>
        <x14:conditionalFormatting xmlns:xm="http://schemas.microsoft.com/office/excel/2006/main">
          <x14:cfRule type="expression" priority="150" id="{7AC06CA7-11F5-40D5-A4A9-478C66295A13}">
            <xm:f>入力!$B$14&lt;27</xm:f>
            <x14:dxf>
              <fill>
                <patternFill patternType="mediumGray"/>
              </fill>
            </x14:dxf>
          </x14:cfRule>
          <xm:sqref>L54</xm:sqref>
        </x14:conditionalFormatting>
        <x14:conditionalFormatting xmlns:xm="http://schemas.microsoft.com/office/excel/2006/main">
          <x14:cfRule type="expression" priority="149" id="{D1A26626-F71B-4ACB-AFD6-E4A531AAF496}">
            <xm:f>入力!$B$14+1&lt;27</xm:f>
            <x14:dxf>
              <fill>
                <patternFill patternType="mediumGray"/>
              </fill>
            </x14:dxf>
          </x14:cfRule>
          <xm:sqref>M54</xm:sqref>
        </x14:conditionalFormatting>
        <x14:conditionalFormatting xmlns:xm="http://schemas.microsoft.com/office/excel/2006/main">
          <x14:cfRule type="expression" priority="148" id="{93B94C72-AC1B-44E6-AAAD-2745670F3D74}">
            <xm:f>入力!$B$14+2&lt;27</xm:f>
            <x14:dxf>
              <fill>
                <patternFill patternType="mediumGray"/>
              </fill>
            </x14:dxf>
          </x14:cfRule>
          <xm:sqref>N54</xm:sqref>
        </x14:conditionalFormatting>
        <x14:conditionalFormatting xmlns:xm="http://schemas.microsoft.com/office/excel/2006/main">
          <x14:cfRule type="expression" priority="147" id="{55F823B4-FD71-4D86-A9B9-6DAAD48F0946}">
            <xm:f>入力!$B$14+3&lt;27</xm:f>
            <x14:dxf>
              <fill>
                <patternFill patternType="mediumGray"/>
              </fill>
            </x14:dxf>
          </x14:cfRule>
          <xm:sqref>O54</xm:sqref>
        </x14:conditionalFormatting>
        <x14:conditionalFormatting xmlns:xm="http://schemas.microsoft.com/office/excel/2006/main">
          <x14:cfRule type="expression" priority="138" id="{49A6CB78-E475-42CA-9BDD-17550162A363}">
            <xm:f>入力!$B$14+4&lt;27</xm:f>
            <x14:dxf>
              <fill>
                <patternFill patternType="mediumGray"/>
              </fill>
            </x14:dxf>
          </x14:cfRule>
          <xm:sqref>P55</xm:sqref>
        </x14:conditionalFormatting>
        <x14:conditionalFormatting xmlns:xm="http://schemas.microsoft.com/office/excel/2006/main">
          <x14:cfRule type="expression" priority="145" id="{D188E87D-0ADB-412E-BE07-F3BBC45983C7}">
            <xm:f>入力!$B$14-3&lt;27</xm:f>
            <x14:dxf>
              <fill>
                <patternFill patternType="mediumGray"/>
              </fill>
            </x14:dxf>
          </x14:cfRule>
          <xm:sqref>I55</xm:sqref>
        </x14:conditionalFormatting>
        <x14:conditionalFormatting xmlns:xm="http://schemas.microsoft.com/office/excel/2006/main">
          <x14:cfRule type="expression" priority="144" id="{F9845FF6-7AD5-4F78-81D3-5069EB2BD3BE}">
            <xm:f>入力!$B$14-2&lt;27</xm:f>
            <x14:dxf>
              <fill>
                <patternFill patternType="mediumGray"/>
              </fill>
            </x14:dxf>
          </x14:cfRule>
          <xm:sqref>J55</xm:sqref>
        </x14:conditionalFormatting>
        <x14:conditionalFormatting xmlns:xm="http://schemas.microsoft.com/office/excel/2006/main">
          <x14:cfRule type="expression" priority="143" id="{A1BA1CC5-5A44-4E14-87BE-B24DDACF2C8C}">
            <xm:f>入力!$B$14-1&lt;27</xm:f>
            <x14:dxf>
              <fill>
                <patternFill patternType="mediumGray"/>
              </fill>
            </x14:dxf>
          </x14:cfRule>
          <xm:sqref>K55</xm:sqref>
        </x14:conditionalFormatting>
        <x14:conditionalFormatting xmlns:xm="http://schemas.microsoft.com/office/excel/2006/main">
          <x14:cfRule type="expression" priority="142" id="{E57EB687-8CE5-4BA9-B467-F7EE2B0E6581}">
            <xm:f>入力!$B$14&lt;27</xm:f>
            <x14:dxf>
              <fill>
                <patternFill patternType="mediumGray"/>
              </fill>
            </x14:dxf>
          </x14:cfRule>
          <xm:sqref>L55</xm:sqref>
        </x14:conditionalFormatting>
        <x14:conditionalFormatting xmlns:xm="http://schemas.microsoft.com/office/excel/2006/main">
          <x14:cfRule type="expression" priority="141" id="{65D66BB3-9266-48F4-A385-3C76F6B9AE1F}">
            <xm:f>入力!$B$14+1&lt;27</xm:f>
            <x14:dxf>
              <fill>
                <patternFill patternType="mediumGray"/>
              </fill>
            </x14:dxf>
          </x14:cfRule>
          <xm:sqref>M55</xm:sqref>
        </x14:conditionalFormatting>
        <x14:conditionalFormatting xmlns:xm="http://schemas.microsoft.com/office/excel/2006/main">
          <x14:cfRule type="expression" priority="140" id="{6728752C-F178-47BF-957E-098B124F3E67}">
            <xm:f>入力!$B$14+2&lt;27</xm:f>
            <x14:dxf>
              <fill>
                <patternFill patternType="mediumGray"/>
              </fill>
            </x14:dxf>
          </x14:cfRule>
          <xm:sqref>N55</xm:sqref>
        </x14:conditionalFormatting>
        <x14:conditionalFormatting xmlns:xm="http://schemas.microsoft.com/office/excel/2006/main">
          <x14:cfRule type="expression" priority="139" id="{C286F1BB-8E26-487B-A0EC-68D71E767B3B}">
            <xm:f>入力!$B$14+3&lt;27</xm:f>
            <x14:dxf>
              <fill>
                <patternFill patternType="mediumGray"/>
              </fill>
            </x14:dxf>
          </x14:cfRule>
          <xm:sqref>O55</xm:sqref>
        </x14:conditionalFormatting>
        <x14:conditionalFormatting xmlns:xm="http://schemas.microsoft.com/office/excel/2006/main">
          <x14:cfRule type="expression" priority="130" id="{67C1D6B3-B18E-489B-9291-E914AAE96F10}">
            <xm:f>入力!$B$14+4&lt;27</xm:f>
            <x14:dxf>
              <fill>
                <patternFill patternType="mediumGray"/>
              </fill>
            </x14:dxf>
          </x14:cfRule>
          <xm:sqref>P56</xm:sqref>
        </x14:conditionalFormatting>
        <x14:conditionalFormatting xmlns:xm="http://schemas.microsoft.com/office/excel/2006/main">
          <x14:cfRule type="expression" priority="137" id="{35B28340-6575-4E9A-9C4B-7AAB66CE1522}">
            <xm:f>入力!$B$14-3&lt;27</xm:f>
            <x14:dxf>
              <fill>
                <patternFill patternType="mediumGray"/>
              </fill>
            </x14:dxf>
          </x14:cfRule>
          <xm:sqref>I56</xm:sqref>
        </x14:conditionalFormatting>
        <x14:conditionalFormatting xmlns:xm="http://schemas.microsoft.com/office/excel/2006/main">
          <x14:cfRule type="expression" priority="136" id="{D71142BB-9A56-49B0-BA59-2C8B2A355AD8}">
            <xm:f>入力!$B$14-2&lt;27</xm:f>
            <x14:dxf>
              <fill>
                <patternFill patternType="mediumGray"/>
              </fill>
            </x14:dxf>
          </x14:cfRule>
          <xm:sqref>J56</xm:sqref>
        </x14:conditionalFormatting>
        <x14:conditionalFormatting xmlns:xm="http://schemas.microsoft.com/office/excel/2006/main">
          <x14:cfRule type="expression" priority="135" id="{B3F7EF11-85BF-459A-A1C4-DEC13C5F2381}">
            <xm:f>入力!$B$14-1&lt;27</xm:f>
            <x14:dxf>
              <fill>
                <patternFill patternType="mediumGray"/>
              </fill>
            </x14:dxf>
          </x14:cfRule>
          <xm:sqref>K56</xm:sqref>
        </x14:conditionalFormatting>
        <x14:conditionalFormatting xmlns:xm="http://schemas.microsoft.com/office/excel/2006/main">
          <x14:cfRule type="expression" priority="134" id="{DA745EAD-3968-42DC-BA0F-68281209886C}">
            <xm:f>入力!$B$14&lt;27</xm:f>
            <x14:dxf>
              <fill>
                <patternFill patternType="mediumGray"/>
              </fill>
            </x14:dxf>
          </x14:cfRule>
          <xm:sqref>L56</xm:sqref>
        </x14:conditionalFormatting>
        <x14:conditionalFormatting xmlns:xm="http://schemas.microsoft.com/office/excel/2006/main">
          <x14:cfRule type="expression" priority="133" id="{79E58A33-D092-4D81-BEF7-929261D1FF77}">
            <xm:f>入力!$B$14+1&lt;27</xm:f>
            <x14:dxf>
              <fill>
                <patternFill patternType="mediumGray"/>
              </fill>
            </x14:dxf>
          </x14:cfRule>
          <xm:sqref>M56</xm:sqref>
        </x14:conditionalFormatting>
        <x14:conditionalFormatting xmlns:xm="http://schemas.microsoft.com/office/excel/2006/main">
          <x14:cfRule type="expression" priority="132" id="{AC612CCF-E659-432B-9391-7A72D586C0BF}">
            <xm:f>入力!$B$14+2&lt;27</xm:f>
            <x14:dxf>
              <fill>
                <patternFill patternType="mediumGray"/>
              </fill>
            </x14:dxf>
          </x14:cfRule>
          <xm:sqref>N56</xm:sqref>
        </x14:conditionalFormatting>
        <x14:conditionalFormatting xmlns:xm="http://schemas.microsoft.com/office/excel/2006/main">
          <x14:cfRule type="expression" priority="131" id="{A0AE8DAF-7DDC-40A0-9489-E359423580DB}">
            <xm:f>入力!$B$14+3&lt;27</xm:f>
            <x14:dxf>
              <fill>
                <patternFill patternType="mediumGray"/>
              </fill>
            </x14:dxf>
          </x14:cfRule>
          <xm:sqref>O56</xm:sqref>
        </x14:conditionalFormatting>
        <x14:conditionalFormatting xmlns:xm="http://schemas.microsoft.com/office/excel/2006/main">
          <x14:cfRule type="expression" priority="122" id="{44901540-CADA-49C5-8C6E-99670B7A1580}">
            <xm:f>入力!$B$14+4&lt;27</xm:f>
            <x14:dxf>
              <fill>
                <patternFill patternType="mediumGray"/>
              </fill>
            </x14:dxf>
          </x14:cfRule>
          <xm:sqref>P57</xm:sqref>
        </x14:conditionalFormatting>
        <x14:conditionalFormatting xmlns:xm="http://schemas.microsoft.com/office/excel/2006/main">
          <x14:cfRule type="expression" priority="129" id="{0A766823-8819-44FF-BE6B-429B611EADE7}">
            <xm:f>入力!$B$14-3&lt;27</xm:f>
            <x14:dxf>
              <fill>
                <patternFill patternType="mediumGray"/>
              </fill>
            </x14:dxf>
          </x14:cfRule>
          <xm:sqref>I57</xm:sqref>
        </x14:conditionalFormatting>
        <x14:conditionalFormatting xmlns:xm="http://schemas.microsoft.com/office/excel/2006/main">
          <x14:cfRule type="expression" priority="128" id="{8B3BE5FF-0E43-4DA5-91C6-06C281FAB0A3}">
            <xm:f>入力!$B$14-2&lt;27</xm:f>
            <x14:dxf>
              <fill>
                <patternFill patternType="mediumGray"/>
              </fill>
            </x14:dxf>
          </x14:cfRule>
          <xm:sqref>J57</xm:sqref>
        </x14:conditionalFormatting>
        <x14:conditionalFormatting xmlns:xm="http://schemas.microsoft.com/office/excel/2006/main">
          <x14:cfRule type="expression" priority="127" id="{89B74528-E85B-4DC6-9AE4-A69F98CDAAD2}">
            <xm:f>入力!$B$14-1&lt;27</xm:f>
            <x14:dxf>
              <fill>
                <patternFill patternType="mediumGray"/>
              </fill>
            </x14:dxf>
          </x14:cfRule>
          <xm:sqref>K57</xm:sqref>
        </x14:conditionalFormatting>
        <x14:conditionalFormatting xmlns:xm="http://schemas.microsoft.com/office/excel/2006/main">
          <x14:cfRule type="expression" priority="126" id="{6E0A2D79-01B7-48EA-9566-58D82CCD193A}">
            <xm:f>入力!$B$14&lt;27</xm:f>
            <x14:dxf>
              <fill>
                <patternFill patternType="mediumGray"/>
              </fill>
            </x14:dxf>
          </x14:cfRule>
          <xm:sqref>L57</xm:sqref>
        </x14:conditionalFormatting>
        <x14:conditionalFormatting xmlns:xm="http://schemas.microsoft.com/office/excel/2006/main">
          <x14:cfRule type="expression" priority="125" id="{645DBF11-FF9F-404A-878C-5996D2CC9208}">
            <xm:f>入力!$B$14+1&lt;27</xm:f>
            <x14:dxf>
              <fill>
                <patternFill patternType="mediumGray"/>
              </fill>
            </x14:dxf>
          </x14:cfRule>
          <xm:sqref>M57</xm:sqref>
        </x14:conditionalFormatting>
        <x14:conditionalFormatting xmlns:xm="http://schemas.microsoft.com/office/excel/2006/main">
          <x14:cfRule type="expression" priority="124" id="{DC797B72-0BC7-40A0-BD70-1B30E9E34285}">
            <xm:f>入力!$B$14+2&lt;27</xm:f>
            <x14:dxf>
              <fill>
                <patternFill patternType="mediumGray"/>
              </fill>
            </x14:dxf>
          </x14:cfRule>
          <xm:sqref>N57</xm:sqref>
        </x14:conditionalFormatting>
        <x14:conditionalFormatting xmlns:xm="http://schemas.microsoft.com/office/excel/2006/main">
          <x14:cfRule type="expression" priority="123" id="{997DF7C7-0F9D-4B9F-A0D2-8C112A7FC47E}">
            <xm:f>入力!$B$14+3&lt;27</xm:f>
            <x14:dxf>
              <fill>
                <patternFill patternType="mediumGray"/>
              </fill>
            </x14:dxf>
          </x14:cfRule>
          <xm:sqref>O57</xm:sqref>
        </x14:conditionalFormatting>
        <x14:conditionalFormatting xmlns:xm="http://schemas.microsoft.com/office/excel/2006/main">
          <x14:cfRule type="expression" priority="114" id="{F78BC5FE-8937-465A-90B6-1E4D76392B14}">
            <xm:f>入力!$B$14+4&lt;27</xm:f>
            <x14:dxf>
              <fill>
                <patternFill patternType="mediumGray"/>
              </fill>
            </x14:dxf>
          </x14:cfRule>
          <xm:sqref>P58</xm:sqref>
        </x14:conditionalFormatting>
        <x14:conditionalFormatting xmlns:xm="http://schemas.microsoft.com/office/excel/2006/main">
          <x14:cfRule type="expression" priority="121" id="{0641253D-5D57-430E-BEA3-DE312D49035D}">
            <xm:f>入力!$B$14-3&lt;27</xm:f>
            <x14:dxf>
              <fill>
                <patternFill patternType="mediumGray"/>
              </fill>
            </x14:dxf>
          </x14:cfRule>
          <xm:sqref>I58</xm:sqref>
        </x14:conditionalFormatting>
        <x14:conditionalFormatting xmlns:xm="http://schemas.microsoft.com/office/excel/2006/main">
          <x14:cfRule type="expression" priority="120" id="{ABE62BA4-6D54-41DA-A8D4-D23AE210F0B3}">
            <xm:f>入力!$B$14-2&lt;27</xm:f>
            <x14:dxf>
              <fill>
                <patternFill patternType="mediumGray"/>
              </fill>
            </x14:dxf>
          </x14:cfRule>
          <xm:sqref>J58</xm:sqref>
        </x14:conditionalFormatting>
        <x14:conditionalFormatting xmlns:xm="http://schemas.microsoft.com/office/excel/2006/main">
          <x14:cfRule type="expression" priority="119" id="{A36CED18-6F45-445D-8E7F-9E06699B7EF6}">
            <xm:f>入力!$B$14-1&lt;27</xm:f>
            <x14:dxf>
              <fill>
                <patternFill patternType="mediumGray"/>
              </fill>
            </x14:dxf>
          </x14:cfRule>
          <xm:sqref>K58</xm:sqref>
        </x14:conditionalFormatting>
        <x14:conditionalFormatting xmlns:xm="http://schemas.microsoft.com/office/excel/2006/main">
          <x14:cfRule type="expression" priority="118" id="{ECF6B462-641F-4D83-83A7-AE142228F90D}">
            <xm:f>入力!$B$14&lt;27</xm:f>
            <x14:dxf>
              <fill>
                <patternFill patternType="mediumGray"/>
              </fill>
            </x14:dxf>
          </x14:cfRule>
          <xm:sqref>L58</xm:sqref>
        </x14:conditionalFormatting>
        <x14:conditionalFormatting xmlns:xm="http://schemas.microsoft.com/office/excel/2006/main">
          <x14:cfRule type="expression" priority="117" id="{1E6F7D62-5D66-4B1B-969C-B539107CE5DB}">
            <xm:f>入力!$B$14+1&lt;27</xm:f>
            <x14:dxf>
              <fill>
                <patternFill patternType="mediumGray"/>
              </fill>
            </x14:dxf>
          </x14:cfRule>
          <xm:sqref>M58</xm:sqref>
        </x14:conditionalFormatting>
        <x14:conditionalFormatting xmlns:xm="http://schemas.microsoft.com/office/excel/2006/main">
          <x14:cfRule type="expression" priority="116" id="{24469682-8A73-4B32-AECA-E0E7FACCFDB3}">
            <xm:f>入力!$B$14+2&lt;27</xm:f>
            <x14:dxf>
              <fill>
                <patternFill patternType="mediumGray"/>
              </fill>
            </x14:dxf>
          </x14:cfRule>
          <xm:sqref>N58</xm:sqref>
        </x14:conditionalFormatting>
        <x14:conditionalFormatting xmlns:xm="http://schemas.microsoft.com/office/excel/2006/main">
          <x14:cfRule type="expression" priority="115" id="{A3B4E587-69BE-4339-A1AA-81E15C534EF6}">
            <xm:f>入力!$B$14+3&lt;27</xm:f>
            <x14:dxf>
              <fill>
                <patternFill patternType="mediumGray"/>
              </fill>
            </x14:dxf>
          </x14:cfRule>
          <xm:sqref>O58</xm:sqref>
        </x14:conditionalFormatting>
        <x14:conditionalFormatting xmlns:xm="http://schemas.microsoft.com/office/excel/2006/main">
          <x14:cfRule type="expression" priority="98" id="{FA5B06E4-088F-42BA-AEB8-5ADB1F80935A}">
            <xm:f>入力!$B$14+4&lt;27</xm:f>
            <x14:dxf>
              <fill>
                <patternFill patternType="mediumGray"/>
              </fill>
            </x14:dxf>
          </x14:cfRule>
          <xm:sqref>P60</xm:sqref>
        </x14:conditionalFormatting>
        <x14:conditionalFormatting xmlns:xm="http://schemas.microsoft.com/office/excel/2006/main">
          <x14:cfRule type="expression" priority="105" id="{A8D711F1-061B-4311-BBAB-EB3D8FBE5077}">
            <xm:f>入力!$B$14-3&lt;27</xm:f>
            <x14:dxf>
              <fill>
                <patternFill patternType="mediumGray"/>
              </fill>
            </x14:dxf>
          </x14:cfRule>
          <xm:sqref>I60</xm:sqref>
        </x14:conditionalFormatting>
        <x14:conditionalFormatting xmlns:xm="http://schemas.microsoft.com/office/excel/2006/main">
          <x14:cfRule type="expression" priority="104" id="{F0C7DEB4-F659-4642-815D-9800A127848D}">
            <xm:f>入力!$B$14-2&lt;27</xm:f>
            <x14:dxf>
              <fill>
                <patternFill patternType="mediumGray"/>
              </fill>
            </x14:dxf>
          </x14:cfRule>
          <xm:sqref>J60</xm:sqref>
        </x14:conditionalFormatting>
        <x14:conditionalFormatting xmlns:xm="http://schemas.microsoft.com/office/excel/2006/main">
          <x14:cfRule type="expression" priority="103" id="{F9732095-BE2A-4373-B886-E15F47418B29}">
            <xm:f>入力!$B$14-1&lt;27</xm:f>
            <x14:dxf>
              <fill>
                <patternFill patternType="mediumGray"/>
              </fill>
            </x14:dxf>
          </x14:cfRule>
          <xm:sqref>K60</xm:sqref>
        </x14:conditionalFormatting>
        <x14:conditionalFormatting xmlns:xm="http://schemas.microsoft.com/office/excel/2006/main">
          <x14:cfRule type="expression" priority="102" id="{5133D15A-46AF-45C6-A280-971A4C69C039}">
            <xm:f>入力!$B$14&lt;27</xm:f>
            <x14:dxf>
              <fill>
                <patternFill patternType="mediumGray"/>
              </fill>
            </x14:dxf>
          </x14:cfRule>
          <xm:sqref>L60</xm:sqref>
        </x14:conditionalFormatting>
        <x14:conditionalFormatting xmlns:xm="http://schemas.microsoft.com/office/excel/2006/main">
          <x14:cfRule type="expression" priority="101" id="{C3892D29-024B-4620-B18F-204E4ADAFE26}">
            <xm:f>入力!$B$14+1&lt;27</xm:f>
            <x14:dxf>
              <fill>
                <patternFill patternType="mediumGray"/>
              </fill>
            </x14:dxf>
          </x14:cfRule>
          <xm:sqref>M60</xm:sqref>
        </x14:conditionalFormatting>
        <x14:conditionalFormatting xmlns:xm="http://schemas.microsoft.com/office/excel/2006/main">
          <x14:cfRule type="expression" priority="100" id="{9D1D8AE9-9084-4154-8F30-F5C1E230D77B}">
            <xm:f>入力!$B$14+2&lt;27</xm:f>
            <x14:dxf>
              <fill>
                <patternFill patternType="mediumGray"/>
              </fill>
            </x14:dxf>
          </x14:cfRule>
          <xm:sqref>N60</xm:sqref>
        </x14:conditionalFormatting>
        <x14:conditionalFormatting xmlns:xm="http://schemas.microsoft.com/office/excel/2006/main">
          <x14:cfRule type="expression" priority="99" id="{92C3EDDD-F49A-4B10-96E5-799AEC239E2B}">
            <xm:f>入力!$B$14+3&lt;27</xm:f>
            <x14:dxf>
              <fill>
                <patternFill patternType="mediumGray"/>
              </fill>
            </x14:dxf>
          </x14:cfRule>
          <xm:sqref>O60</xm:sqref>
        </x14:conditionalFormatting>
        <x14:conditionalFormatting xmlns:xm="http://schemas.microsoft.com/office/excel/2006/main">
          <x14:cfRule type="expression" priority="89" id="{7D7D23A1-733A-43B2-AC47-88449F35CA17}">
            <xm:f>入力!$B$14-3&lt;27</xm:f>
            <x14:dxf>
              <fill>
                <patternFill patternType="mediumGray"/>
              </fill>
            </x14:dxf>
          </x14:cfRule>
          <xm:sqref>I63</xm:sqref>
        </x14:conditionalFormatting>
        <x14:conditionalFormatting xmlns:xm="http://schemas.microsoft.com/office/excel/2006/main">
          <x14:cfRule type="expression" priority="88" id="{66283F6B-5316-4DCD-862D-2DB9C4A22084}">
            <xm:f>入力!$B$14-2&lt;27</xm:f>
            <x14:dxf>
              <fill>
                <patternFill patternType="mediumGray"/>
              </fill>
            </x14:dxf>
          </x14:cfRule>
          <xm:sqref>J63</xm:sqref>
        </x14:conditionalFormatting>
        <x14:conditionalFormatting xmlns:xm="http://schemas.microsoft.com/office/excel/2006/main">
          <x14:cfRule type="expression" priority="87" id="{82B8C714-FA24-41C5-AEAD-50A40F5C7E10}">
            <xm:f>入力!$B$14-1&lt;27</xm:f>
            <x14:dxf>
              <fill>
                <patternFill patternType="mediumGray"/>
              </fill>
            </x14:dxf>
          </x14:cfRule>
          <xm:sqref>K63</xm:sqref>
        </x14:conditionalFormatting>
        <x14:conditionalFormatting xmlns:xm="http://schemas.microsoft.com/office/excel/2006/main">
          <x14:cfRule type="expression" priority="86" id="{73827C5C-F3B9-4399-B254-5159B75F38F9}">
            <xm:f>入力!$B$14&lt;27</xm:f>
            <x14:dxf>
              <fill>
                <patternFill patternType="mediumGray"/>
              </fill>
            </x14:dxf>
          </x14:cfRule>
          <xm:sqref>L63</xm:sqref>
        </x14:conditionalFormatting>
        <x14:conditionalFormatting xmlns:xm="http://schemas.microsoft.com/office/excel/2006/main">
          <x14:cfRule type="expression" priority="85" id="{93E11BAE-299A-492A-B050-5186CEA384BF}">
            <xm:f>入力!$B$14+1&lt;27</xm:f>
            <x14:dxf>
              <fill>
                <patternFill patternType="mediumGray"/>
              </fill>
            </x14:dxf>
          </x14:cfRule>
          <xm:sqref>M63</xm:sqref>
        </x14:conditionalFormatting>
        <x14:conditionalFormatting xmlns:xm="http://schemas.microsoft.com/office/excel/2006/main">
          <x14:cfRule type="expression" priority="84" id="{C4F75F31-4102-405F-BA24-34482A4BF383}">
            <xm:f>入力!$B$14+2&lt;27</xm:f>
            <x14:dxf>
              <fill>
                <patternFill patternType="mediumGray"/>
              </fill>
            </x14:dxf>
          </x14:cfRule>
          <xm:sqref>N63</xm:sqref>
        </x14:conditionalFormatting>
        <x14:conditionalFormatting xmlns:xm="http://schemas.microsoft.com/office/excel/2006/main">
          <x14:cfRule type="expression" priority="83" id="{9E0E3EF7-3B48-4427-A4DB-C84257639303}">
            <xm:f>入力!$B$14+3&lt;27</xm:f>
            <x14:dxf>
              <fill>
                <patternFill patternType="mediumGray"/>
              </fill>
            </x14:dxf>
          </x14:cfRule>
          <xm:sqref>O63</xm:sqref>
        </x14:conditionalFormatting>
        <x14:conditionalFormatting xmlns:xm="http://schemas.microsoft.com/office/excel/2006/main">
          <x14:cfRule type="expression" priority="81" id="{5CCD3C97-7C01-406D-BFF1-FF3FF6544F30}">
            <xm:f>入力!$B$14-3&lt;27</xm:f>
            <x14:dxf>
              <fill>
                <patternFill patternType="mediumGray"/>
              </fill>
            </x14:dxf>
          </x14:cfRule>
          <xm:sqref>I64</xm:sqref>
        </x14:conditionalFormatting>
        <x14:conditionalFormatting xmlns:xm="http://schemas.microsoft.com/office/excel/2006/main">
          <x14:cfRule type="expression" priority="80" id="{120BF1EF-7F5A-4A85-82E0-276A16469BBC}">
            <xm:f>入力!$B$14-2&lt;27</xm:f>
            <x14:dxf>
              <fill>
                <patternFill patternType="mediumGray"/>
              </fill>
            </x14:dxf>
          </x14:cfRule>
          <xm:sqref>J64</xm:sqref>
        </x14:conditionalFormatting>
        <x14:conditionalFormatting xmlns:xm="http://schemas.microsoft.com/office/excel/2006/main">
          <x14:cfRule type="expression" priority="79" id="{84EA1218-F46F-4256-A266-2B37D4FB4660}">
            <xm:f>入力!$B$14-1&lt;27</xm:f>
            <x14:dxf>
              <fill>
                <patternFill patternType="mediumGray"/>
              </fill>
            </x14:dxf>
          </x14:cfRule>
          <xm:sqref>K64</xm:sqref>
        </x14:conditionalFormatting>
        <x14:conditionalFormatting xmlns:xm="http://schemas.microsoft.com/office/excel/2006/main">
          <x14:cfRule type="expression" priority="78" id="{E3F333CA-ADF8-480F-94F0-AF301513D544}">
            <xm:f>入力!$B$14&lt;27</xm:f>
            <x14:dxf>
              <fill>
                <patternFill patternType="mediumGray"/>
              </fill>
            </x14:dxf>
          </x14:cfRule>
          <xm:sqref>L64</xm:sqref>
        </x14:conditionalFormatting>
        <x14:conditionalFormatting xmlns:xm="http://schemas.microsoft.com/office/excel/2006/main">
          <x14:cfRule type="expression" priority="77" id="{C95B83AF-481D-441A-A825-E3CB763966B2}">
            <xm:f>入力!$B$14+1&lt;27</xm:f>
            <x14:dxf>
              <fill>
                <patternFill patternType="mediumGray"/>
              </fill>
            </x14:dxf>
          </x14:cfRule>
          <xm:sqref>M64</xm:sqref>
        </x14:conditionalFormatting>
        <x14:conditionalFormatting xmlns:xm="http://schemas.microsoft.com/office/excel/2006/main">
          <x14:cfRule type="expression" priority="76" id="{6154ED89-783C-4898-BE47-CA6488FB1250}">
            <xm:f>入力!$B$14+2&lt;27</xm:f>
            <x14:dxf>
              <fill>
                <patternFill patternType="mediumGray"/>
              </fill>
            </x14:dxf>
          </x14:cfRule>
          <xm:sqref>N64</xm:sqref>
        </x14:conditionalFormatting>
        <x14:conditionalFormatting xmlns:xm="http://schemas.microsoft.com/office/excel/2006/main">
          <x14:cfRule type="expression" priority="75" id="{E9ABAA84-50DB-4C75-A36A-DC878142D8C6}">
            <xm:f>入力!$B$14+3&lt;27</xm:f>
            <x14:dxf>
              <fill>
                <patternFill patternType="mediumGray"/>
              </fill>
            </x14:dxf>
          </x14:cfRule>
          <xm:sqref>O64</xm:sqref>
        </x14:conditionalFormatting>
        <x14:conditionalFormatting xmlns:xm="http://schemas.microsoft.com/office/excel/2006/main">
          <x14:cfRule type="expression" priority="74" id="{7C7D891F-9062-4756-B0E9-55803D81A158}">
            <xm:f>入力!$B$14+4&lt;27</xm:f>
            <x14:dxf>
              <fill>
                <patternFill patternType="mediumGray"/>
              </fill>
            </x14:dxf>
          </x14:cfRule>
          <xm:sqref>P64</xm:sqref>
        </x14:conditionalFormatting>
        <x14:conditionalFormatting xmlns:xm="http://schemas.microsoft.com/office/excel/2006/main">
          <x14:cfRule type="expression" priority="73" id="{04B400C6-EF1E-4675-AFF8-18DF7C7365CA}">
            <xm:f>入力!$B$14-3&lt;27</xm:f>
            <x14:dxf>
              <fill>
                <patternFill patternType="mediumGray"/>
              </fill>
            </x14:dxf>
          </x14:cfRule>
          <xm:sqref>I65</xm:sqref>
        </x14:conditionalFormatting>
        <x14:conditionalFormatting xmlns:xm="http://schemas.microsoft.com/office/excel/2006/main">
          <x14:cfRule type="expression" priority="72" id="{09257843-0028-4563-9965-70F0751DA2E7}">
            <xm:f>入力!$B$14-2&lt;27</xm:f>
            <x14:dxf>
              <fill>
                <patternFill patternType="mediumGray"/>
              </fill>
            </x14:dxf>
          </x14:cfRule>
          <xm:sqref>J65</xm:sqref>
        </x14:conditionalFormatting>
        <x14:conditionalFormatting xmlns:xm="http://schemas.microsoft.com/office/excel/2006/main">
          <x14:cfRule type="expression" priority="71" id="{9BF6E7B6-0822-418D-B116-4152C3F7CCD6}">
            <xm:f>入力!$B$14-1&lt;27</xm:f>
            <x14:dxf>
              <fill>
                <patternFill patternType="mediumGray"/>
              </fill>
            </x14:dxf>
          </x14:cfRule>
          <xm:sqref>K65</xm:sqref>
        </x14:conditionalFormatting>
        <x14:conditionalFormatting xmlns:xm="http://schemas.microsoft.com/office/excel/2006/main">
          <x14:cfRule type="expression" priority="70" id="{384E1684-B0C8-45C7-8E9A-DB00A8EB6868}">
            <xm:f>入力!$B$14&lt;27</xm:f>
            <x14:dxf>
              <fill>
                <patternFill patternType="mediumGray"/>
              </fill>
            </x14:dxf>
          </x14:cfRule>
          <xm:sqref>L65</xm:sqref>
        </x14:conditionalFormatting>
        <x14:conditionalFormatting xmlns:xm="http://schemas.microsoft.com/office/excel/2006/main">
          <x14:cfRule type="expression" priority="69" id="{29A6393F-6F76-4FFA-92F8-655F3A9E5986}">
            <xm:f>入力!$B$14+1&lt;27</xm:f>
            <x14:dxf>
              <fill>
                <patternFill patternType="mediumGray"/>
              </fill>
            </x14:dxf>
          </x14:cfRule>
          <xm:sqref>M65</xm:sqref>
        </x14:conditionalFormatting>
        <x14:conditionalFormatting xmlns:xm="http://schemas.microsoft.com/office/excel/2006/main">
          <x14:cfRule type="expression" priority="68" id="{E69E57F4-1817-4219-873B-39CADB76848F}">
            <xm:f>入力!$B$14+2&lt;27</xm:f>
            <x14:dxf>
              <fill>
                <patternFill patternType="mediumGray"/>
              </fill>
            </x14:dxf>
          </x14:cfRule>
          <xm:sqref>N65</xm:sqref>
        </x14:conditionalFormatting>
        <x14:conditionalFormatting xmlns:xm="http://schemas.microsoft.com/office/excel/2006/main">
          <x14:cfRule type="expression" priority="67" id="{04349427-53D4-4B01-9187-E613A1F0F276}">
            <xm:f>入力!$B$14+3&lt;27</xm:f>
            <x14:dxf>
              <fill>
                <patternFill patternType="mediumGray"/>
              </fill>
            </x14:dxf>
          </x14:cfRule>
          <xm:sqref>O65</xm:sqref>
        </x14:conditionalFormatting>
        <x14:conditionalFormatting xmlns:xm="http://schemas.microsoft.com/office/excel/2006/main">
          <x14:cfRule type="expression" priority="66" id="{0317B2A5-B3C8-45B1-89A9-F30819BC3779}">
            <xm:f>入力!$B$14+4&lt;27</xm:f>
            <x14:dxf>
              <fill>
                <patternFill patternType="mediumGray"/>
              </fill>
            </x14:dxf>
          </x14:cfRule>
          <xm:sqref>P65</xm:sqref>
        </x14:conditionalFormatting>
        <x14:conditionalFormatting xmlns:xm="http://schemas.microsoft.com/office/excel/2006/main">
          <x14:cfRule type="expression" priority="65" id="{95AA7A04-665F-4C15-BDCB-7AA7B32ADF7F}">
            <xm:f>入力!$B$14-3&lt;27</xm:f>
            <x14:dxf>
              <fill>
                <patternFill patternType="mediumGray"/>
              </fill>
            </x14:dxf>
          </x14:cfRule>
          <xm:sqref>I66</xm:sqref>
        </x14:conditionalFormatting>
        <x14:conditionalFormatting xmlns:xm="http://schemas.microsoft.com/office/excel/2006/main">
          <x14:cfRule type="expression" priority="64" id="{735E1CCB-3232-4854-A6BE-64DDB0CD87B9}">
            <xm:f>入力!$B$14-2&lt;27</xm:f>
            <x14:dxf>
              <fill>
                <patternFill patternType="mediumGray"/>
              </fill>
            </x14:dxf>
          </x14:cfRule>
          <xm:sqref>J66</xm:sqref>
        </x14:conditionalFormatting>
        <x14:conditionalFormatting xmlns:xm="http://schemas.microsoft.com/office/excel/2006/main">
          <x14:cfRule type="expression" priority="63" id="{8DCC7376-104B-4335-A186-B3C6168B9847}">
            <xm:f>入力!$B$14-1&lt;27</xm:f>
            <x14:dxf>
              <fill>
                <patternFill patternType="mediumGray"/>
              </fill>
            </x14:dxf>
          </x14:cfRule>
          <xm:sqref>K66</xm:sqref>
        </x14:conditionalFormatting>
        <x14:conditionalFormatting xmlns:xm="http://schemas.microsoft.com/office/excel/2006/main">
          <x14:cfRule type="expression" priority="62" id="{5CA6F601-F099-4B82-9D49-D2D3DBA6B9F8}">
            <xm:f>入力!$B$14&lt;27</xm:f>
            <x14:dxf>
              <fill>
                <patternFill patternType="mediumGray"/>
              </fill>
            </x14:dxf>
          </x14:cfRule>
          <xm:sqref>L66</xm:sqref>
        </x14:conditionalFormatting>
        <x14:conditionalFormatting xmlns:xm="http://schemas.microsoft.com/office/excel/2006/main">
          <x14:cfRule type="expression" priority="61" id="{174C7012-2CAD-41EE-A971-E07C1214FD8A}">
            <xm:f>入力!$B$14+1&lt;27</xm:f>
            <x14:dxf>
              <fill>
                <patternFill patternType="mediumGray"/>
              </fill>
            </x14:dxf>
          </x14:cfRule>
          <xm:sqref>M66</xm:sqref>
        </x14:conditionalFormatting>
        <x14:conditionalFormatting xmlns:xm="http://schemas.microsoft.com/office/excel/2006/main">
          <x14:cfRule type="expression" priority="60" id="{C3F38982-6A87-4D52-A417-FD413502B9B0}">
            <xm:f>入力!$B$14+2&lt;27</xm:f>
            <x14:dxf>
              <fill>
                <patternFill patternType="mediumGray"/>
              </fill>
            </x14:dxf>
          </x14:cfRule>
          <xm:sqref>N66</xm:sqref>
        </x14:conditionalFormatting>
        <x14:conditionalFormatting xmlns:xm="http://schemas.microsoft.com/office/excel/2006/main">
          <x14:cfRule type="expression" priority="59" id="{F4B8DFD4-14D1-4809-9847-E27D247D4CD3}">
            <xm:f>入力!$B$14+3&lt;27</xm:f>
            <x14:dxf>
              <fill>
                <patternFill patternType="mediumGray"/>
              </fill>
            </x14:dxf>
          </x14:cfRule>
          <xm:sqref>O66</xm:sqref>
        </x14:conditionalFormatting>
        <x14:conditionalFormatting xmlns:xm="http://schemas.microsoft.com/office/excel/2006/main">
          <x14:cfRule type="expression" priority="58" id="{E89B4C6C-A5C4-4B89-95F5-6AD846C2A633}">
            <xm:f>入力!$B$14+4&lt;27</xm:f>
            <x14:dxf>
              <fill>
                <patternFill patternType="mediumGray"/>
              </fill>
            </x14:dxf>
          </x14:cfRule>
          <xm:sqref>P66</xm:sqref>
        </x14:conditionalFormatting>
        <x14:conditionalFormatting xmlns:xm="http://schemas.microsoft.com/office/excel/2006/main">
          <x14:cfRule type="expression" priority="57" id="{DF4A7DC3-2BDC-4809-8CB3-D6C8104FB184}">
            <xm:f>入力!$B$14-3&lt;27</xm:f>
            <x14:dxf>
              <fill>
                <patternFill patternType="mediumGray"/>
              </fill>
            </x14:dxf>
          </x14:cfRule>
          <xm:sqref>I67</xm:sqref>
        </x14:conditionalFormatting>
        <x14:conditionalFormatting xmlns:xm="http://schemas.microsoft.com/office/excel/2006/main">
          <x14:cfRule type="expression" priority="56" id="{4109A7AC-B9ED-44FF-9F38-265758457488}">
            <xm:f>入力!$B$14-2&lt;27</xm:f>
            <x14:dxf>
              <fill>
                <patternFill patternType="mediumGray"/>
              </fill>
            </x14:dxf>
          </x14:cfRule>
          <xm:sqref>J67</xm:sqref>
        </x14:conditionalFormatting>
        <x14:conditionalFormatting xmlns:xm="http://schemas.microsoft.com/office/excel/2006/main">
          <x14:cfRule type="expression" priority="55" id="{C7361841-26B1-4A5F-8506-899BDEBC2F59}">
            <xm:f>入力!$B$14-1&lt;27</xm:f>
            <x14:dxf>
              <fill>
                <patternFill patternType="mediumGray"/>
              </fill>
            </x14:dxf>
          </x14:cfRule>
          <xm:sqref>K67</xm:sqref>
        </x14:conditionalFormatting>
        <x14:conditionalFormatting xmlns:xm="http://schemas.microsoft.com/office/excel/2006/main">
          <x14:cfRule type="expression" priority="54" id="{80D12389-E352-4D96-BEB2-28CCE1B1E0A8}">
            <xm:f>入力!$B$14&lt;27</xm:f>
            <x14:dxf>
              <fill>
                <patternFill patternType="mediumGray"/>
              </fill>
            </x14:dxf>
          </x14:cfRule>
          <xm:sqref>L67</xm:sqref>
        </x14:conditionalFormatting>
        <x14:conditionalFormatting xmlns:xm="http://schemas.microsoft.com/office/excel/2006/main">
          <x14:cfRule type="expression" priority="53" id="{DC15E944-5630-45FF-9C16-0161084A2A01}">
            <xm:f>入力!$B$14+1&lt;27</xm:f>
            <x14:dxf>
              <fill>
                <patternFill patternType="mediumGray"/>
              </fill>
            </x14:dxf>
          </x14:cfRule>
          <xm:sqref>M67</xm:sqref>
        </x14:conditionalFormatting>
        <x14:conditionalFormatting xmlns:xm="http://schemas.microsoft.com/office/excel/2006/main">
          <x14:cfRule type="expression" priority="52" id="{A4FB74E2-9024-4D97-9F59-661C817C5D1F}">
            <xm:f>入力!$B$14+2&lt;27</xm:f>
            <x14:dxf>
              <fill>
                <patternFill patternType="mediumGray"/>
              </fill>
            </x14:dxf>
          </x14:cfRule>
          <xm:sqref>N67</xm:sqref>
        </x14:conditionalFormatting>
        <x14:conditionalFormatting xmlns:xm="http://schemas.microsoft.com/office/excel/2006/main">
          <x14:cfRule type="expression" priority="51" id="{797431C3-9F16-4DC0-B28C-B41AFDC1D04D}">
            <xm:f>入力!$B$14+3&lt;27</xm:f>
            <x14:dxf>
              <fill>
                <patternFill patternType="mediumGray"/>
              </fill>
            </x14:dxf>
          </x14:cfRule>
          <xm:sqref>O67</xm:sqref>
        </x14:conditionalFormatting>
        <x14:conditionalFormatting xmlns:xm="http://schemas.microsoft.com/office/excel/2006/main">
          <x14:cfRule type="expression" priority="50" id="{68F845BE-E4B3-4B23-B06B-6CA87DFAC2F3}">
            <xm:f>入力!$B$14+4&lt;27</xm:f>
            <x14:dxf>
              <fill>
                <patternFill patternType="mediumGray"/>
              </fill>
            </x14:dxf>
          </x14:cfRule>
          <xm:sqref>P67</xm:sqref>
        </x14:conditionalFormatting>
        <x14:conditionalFormatting xmlns:xm="http://schemas.microsoft.com/office/excel/2006/main">
          <x14:cfRule type="expression" priority="49" id="{B5131E56-6CCE-43DF-B979-4489F97C2039}">
            <xm:f>入力!$B$14-3&lt;27</xm:f>
            <x14:dxf>
              <fill>
                <patternFill patternType="mediumGray"/>
              </fill>
            </x14:dxf>
          </x14:cfRule>
          <xm:sqref>I68</xm:sqref>
        </x14:conditionalFormatting>
        <x14:conditionalFormatting xmlns:xm="http://schemas.microsoft.com/office/excel/2006/main">
          <x14:cfRule type="expression" priority="48" id="{DC0A9199-B178-4E7C-ADCA-8D34F9D6DF7A}">
            <xm:f>入力!$B$14-2&lt;27</xm:f>
            <x14:dxf>
              <fill>
                <patternFill patternType="mediumGray"/>
              </fill>
            </x14:dxf>
          </x14:cfRule>
          <xm:sqref>J68</xm:sqref>
        </x14:conditionalFormatting>
        <x14:conditionalFormatting xmlns:xm="http://schemas.microsoft.com/office/excel/2006/main">
          <x14:cfRule type="expression" priority="47" id="{8C176B14-1BFC-486B-92A3-18148C2EBB97}">
            <xm:f>入力!$B$14-1&lt;27</xm:f>
            <x14:dxf>
              <fill>
                <patternFill patternType="mediumGray"/>
              </fill>
            </x14:dxf>
          </x14:cfRule>
          <xm:sqref>K68</xm:sqref>
        </x14:conditionalFormatting>
        <x14:conditionalFormatting xmlns:xm="http://schemas.microsoft.com/office/excel/2006/main">
          <x14:cfRule type="expression" priority="46" id="{C82BBA11-4FD8-4615-91C4-898785137897}">
            <xm:f>入力!$B$14&lt;27</xm:f>
            <x14:dxf>
              <fill>
                <patternFill patternType="mediumGray"/>
              </fill>
            </x14:dxf>
          </x14:cfRule>
          <xm:sqref>L68</xm:sqref>
        </x14:conditionalFormatting>
        <x14:conditionalFormatting xmlns:xm="http://schemas.microsoft.com/office/excel/2006/main">
          <x14:cfRule type="expression" priority="45" id="{1DCAECB5-44A9-407B-BD2B-98C99A2FDCFE}">
            <xm:f>入力!$B$14+1&lt;27</xm:f>
            <x14:dxf>
              <fill>
                <patternFill patternType="mediumGray"/>
              </fill>
            </x14:dxf>
          </x14:cfRule>
          <xm:sqref>M68</xm:sqref>
        </x14:conditionalFormatting>
        <x14:conditionalFormatting xmlns:xm="http://schemas.microsoft.com/office/excel/2006/main">
          <x14:cfRule type="expression" priority="44" id="{A414DC2D-6F54-42AC-9707-E5269EF1C521}">
            <xm:f>入力!$B$14+2&lt;27</xm:f>
            <x14:dxf>
              <fill>
                <patternFill patternType="mediumGray"/>
              </fill>
            </x14:dxf>
          </x14:cfRule>
          <xm:sqref>N68</xm:sqref>
        </x14:conditionalFormatting>
        <x14:conditionalFormatting xmlns:xm="http://schemas.microsoft.com/office/excel/2006/main">
          <x14:cfRule type="expression" priority="43" id="{57F20D34-F252-4BA7-A75E-F12478538064}">
            <xm:f>入力!$B$14+3&lt;27</xm:f>
            <x14:dxf>
              <fill>
                <patternFill patternType="mediumGray"/>
              </fill>
            </x14:dxf>
          </x14:cfRule>
          <xm:sqref>O68</xm:sqref>
        </x14:conditionalFormatting>
        <x14:conditionalFormatting xmlns:xm="http://schemas.microsoft.com/office/excel/2006/main">
          <x14:cfRule type="expression" priority="42" id="{3C1F55EC-FA52-4B61-84AC-6D8CC3AC3AD5}">
            <xm:f>入力!$B$14+4&lt;27</xm:f>
            <x14:dxf>
              <fill>
                <patternFill patternType="mediumGray"/>
              </fill>
            </x14:dxf>
          </x14:cfRule>
          <xm:sqref>P68</xm:sqref>
        </x14:conditionalFormatting>
        <x14:conditionalFormatting xmlns:xm="http://schemas.microsoft.com/office/excel/2006/main">
          <x14:cfRule type="expression" priority="41" id="{62A0AC06-53C2-4D4F-857A-C0964EF2FB1F}">
            <xm:f>入力!$B$14-3&lt;27</xm:f>
            <x14:dxf>
              <fill>
                <patternFill patternType="mediumGray"/>
              </fill>
            </x14:dxf>
          </x14:cfRule>
          <xm:sqref>I69</xm:sqref>
        </x14:conditionalFormatting>
        <x14:conditionalFormatting xmlns:xm="http://schemas.microsoft.com/office/excel/2006/main">
          <x14:cfRule type="expression" priority="40" id="{0BD4CEB2-5801-4988-A56E-B064C2BF256F}">
            <xm:f>入力!$B$14-2&lt;27</xm:f>
            <x14:dxf>
              <fill>
                <patternFill patternType="mediumGray"/>
              </fill>
            </x14:dxf>
          </x14:cfRule>
          <xm:sqref>J69</xm:sqref>
        </x14:conditionalFormatting>
        <x14:conditionalFormatting xmlns:xm="http://schemas.microsoft.com/office/excel/2006/main">
          <x14:cfRule type="expression" priority="39" id="{10DF45B4-8059-4B3A-9C53-39501BBE9C0C}">
            <xm:f>入力!$B$14-1&lt;27</xm:f>
            <x14:dxf>
              <fill>
                <patternFill patternType="mediumGray"/>
              </fill>
            </x14:dxf>
          </x14:cfRule>
          <xm:sqref>K69</xm:sqref>
        </x14:conditionalFormatting>
        <x14:conditionalFormatting xmlns:xm="http://schemas.microsoft.com/office/excel/2006/main">
          <x14:cfRule type="expression" priority="38" id="{1562198C-9433-46D3-AC14-394A71F48CF1}">
            <xm:f>入力!$B$14&lt;27</xm:f>
            <x14:dxf>
              <fill>
                <patternFill patternType="mediumGray"/>
              </fill>
            </x14:dxf>
          </x14:cfRule>
          <xm:sqref>L69</xm:sqref>
        </x14:conditionalFormatting>
        <x14:conditionalFormatting xmlns:xm="http://schemas.microsoft.com/office/excel/2006/main">
          <x14:cfRule type="expression" priority="37" id="{8E20556C-66F2-4684-AAAF-6DDE2AF14EA0}">
            <xm:f>入力!$B$14+1&lt;27</xm:f>
            <x14:dxf>
              <fill>
                <patternFill patternType="mediumGray"/>
              </fill>
            </x14:dxf>
          </x14:cfRule>
          <xm:sqref>M69</xm:sqref>
        </x14:conditionalFormatting>
        <x14:conditionalFormatting xmlns:xm="http://schemas.microsoft.com/office/excel/2006/main">
          <x14:cfRule type="expression" priority="36" id="{CEFDB439-DD4C-479E-89B4-054CA55EB083}">
            <xm:f>入力!$B$14+2&lt;27</xm:f>
            <x14:dxf>
              <fill>
                <patternFill patternType="mediumGray"/>
              </fill>
            </x14:dxf>
          </x14:cfRule>
          <xm:sqref>N69</xm:sqref>
        </x14:conditionalFormatting>
        <x14:conditionalFormatting xmlns:xm="http://schemas.microsoft.com/office/excel/2006/main">
          <x14:cfRule type="expression" priority="35" id="{C5140E06-75D2-48E7-905F-EB29DF755FE4}">
            <xm:f>入力!$B$14+3&lt;27</xm:f>
            <x14:dxf>
              <fill>
                <patternFill patternType="mediumGray"/>
              </fill>
            </x14:dxf>
          </x14:cfRule>
          <xm:sqref>O69</xm:sqref>
        </x14:conditionalFormatting>
        <x14:conditionalFormatting xmlns:xm="http://schemas.microsoft.com/office/excel/2006/main">
          <x14:cfRule type="expression" priority="34" id="{BD0AEDF2-1073-4399-813A-C5464C7CD569}">
            <xm:f>入力!$B$14+4&lt;27</xm:f>
            <x14:dxf>
              <fill>
                <patternFill patternType="mediumGray"/>
              </fill>
            </x14:dxf>
          </x14:cfRule>
          <xm:sqref>P69</xm:sqref>
        </x14:conditionalFormatting>
        <x14:conditionalFormatting xmlns:xm="http://schemas.microsoft.com/office/excel/2006/main">
          <x14:cfRule type="expression" priority="33" id="{36A03476-6204-428C-852F-9D9658657281}">
            <xm:f>入力!$B$14-3&lt;27</xm:f>
            <x14:dxf>
              <fill>
                <patternFill patternType="mediumGray"/>
              </fill>
            </x14:dxf>
          </x14:cfRule>
          <xm:sqref>I70</xm:sqref>
        </x14:conditionalFormatting>
        <x14:conditionalFormatting xmlns:xm="http://schemas.microsoft.com/office/excel/2006/main">
          <x14:cfRule type="expression" priority="32" id="{63DB8F61-87D8-4F5A-88DB-0FF1CB4DB09D}">
            <xm:f>入力!$B$14-2&lt;27</xm:f>
            <x14:dxf>
              <fill>
                <patternFill patternType="mediumGray"/>
              </fill>
            </x14:dxf>
          </x14:cfRule>
          <xm:sqref>J70</xm:sqref>
        </x14:conditionalFormatting>
        <x14:conditionalFormatting xmlns:xm="http://schemas.microsoft.com/office/excel/2006/main">
          <x14:cfRule type="expression" priority="31" id="{461EC761-B136-4911-BAC6-4A6A580D7249}">
            <xm:f>入力!$B$14-1&lt;27</xm:f>
            <x14:dxf>
              <fill>
                <patternFill patternType="mediumGray"/>
              </fill>
            </x14:dxf>
          </x14:cfRule>
          <xm:sqref>K70</xm:sqref>
        </x14:conditionalFormatting>
        <x14:conditionalFormatting xmlns:xm="http://schemas.microsoft.com/office/excel/2006/main">
          <x14:cfRule type="expression" priority="30" id="{A58E8C5E-B0E8-41E5-8944-DDA88E3A1D61}">
            <xm:f>入力!$B$14&lt;27</xm:f>
            <x14:dxf>
              <fill>
                <patternFill patternType="mediumGray"/>
              </fill>
            </x14:dxf>
          </x14:cfRule>
          <xm:sqref>L70</xm:sqref>
        </x14:conditionalFormatting>
        <x14:conditionalFormatting xmlns:xm="http://schemas.microsoft.com/office/excel/2006/main">
          <x14:cfRule type="expression" priority="29" id="{2F98BA68-B434-47EA-AB0B-7DFF1B75D530}">
            <xm:f>入力!$B$14+1&lt;27</xm:f>
            <x14:dxf>
              <fill>
                <patternFill patternType="mediumGray"/>
              </fill>
            </x14:dxf>
          </x14:cfRule>
          <xm:sqref>M70</xm:sqref>
        </x14:conditionalFormatting>
        <x14:conditionalFormatting xmlns:xm="http://schemas.microsoft.com/office/excel/2006/main">
          <x14:cfRule type="expression" priority="28" id="{20C5446E-C536-4C60-9928-60F303337A56}">
            <xm:f>入力!$B$14+2&lt;27</xm:f>
            <x14:dxf>
              <fill>
                <patternFill patternType="mediumGray"/>
              </fill>
            </x14:dxf>
          </x14:cfRule>
          <xm:sqref>N70</xm:sqref>
        </x14:conditionalFormatting>
        <x14:conditionalFormatting xmlns:xm="http://schemas.microsoft.com/office/excel/2006/main">
          <x14:cfRule type="expression" priority="27" id="{FBB4DFA2-9609-48D4-96F3-69136653FADB}">
            <xm:f>入力!$B$14+3&lt;27</xm:f>
            <x14:dxf>
              <fill>
                <patternFill patternType="mediumGray"/>
              </fill>
            </x14:dxf>
          </x14:cfRule>
          <xm:sqref>O70</xm:sqref>
        </x14:conditionalFormatting>
        <x14:conditionalFormatting xmlns:xm="http://schemas.microsoft.com/office/excel/2006/main">
          <x14:cfRule type="expression" priority="26" id="{8B21789C-E22E-4E2F-AAC4-129609EDFEC0}">
            <xm:f>入力!$B$14+4&lt;27</xm:f>
            <x14:dxf>
              <fill>
                <patternFill patternType="mediumGray"/>
              </fill>
            </x14:dxf>
          </x14:cfRule>
          <xm:sqref>P70</xm:sqref>
        </x14:conditionalFormatting>
        <x14:conditionalFormatting xmlns:xm="http://schemas.microsoft.com/office/excel/2006/main">
          <x14:cfRule type="expression" priority="21" id="{99010514-6DEF-4828-BB9A-9A6016F2DA0A}">
            <xm:f>入力!$B$14+4&lt;27</xm:f>
            <x14:dxf>
              <fill>
                <patternFill patternType="mediumGray"/>
              </fill>
            </x14:dxf>
          </x14:cfRule>
          <xm:sqref>P48</xm:sqref>
        </x14:conditionalFormatting>
        <x14:conditionalFormatting xmlns:xm="http://schemas.microsoft.com/office/excel/2006/main">
          <x14:cfRule type="expression" priority="25" id="{2EDD8255-0F66-41FD-992C-86E4798500BA}">
            <xm:f>入力!$B$14&lt;27</xm:f>
            <x14:dxf>
              <fill>
                <patternFill patternType="mediumGray"/>
              </fill>
            </x14:dxf>
          </x14:cfRule>
          <xm:sqref>L48</xm:sqref>
        </x14:conditionalFormatting>
        <x14:conditionalFormatting xmlns:xm="http://schemas.microsoft.com/office/excel/2006/main">
          <x14:cfRule type="expression" priority="24" id="{8F00FAC4-6726-4AD0-A28C-FD9FFC6A82C3}">
            <xm:f>入力!$B$14+1&lt;27</xm:f>
            <x14:dxf>
              <fill>
                <patternFill patternType="mediumGray"/>
              </fill>
            </x14:dxf>
          </x14:cfRule>
          <xm:sqref>M48</xm:sqref>
        </x14:conditionalFormatting>
        <x14:conditionalFormatting xmlns:xm="http://schemas.microsoft.com/office/excel/2006/main">
          <x14:cfRule type="expression" priority="23" id="{E8E3E8AB-A6C5-428E-A38D-00336AF7FFFB}">
            <xm:f>入力!$B$14+2&lt;27</xm:f>
            <x14:dxf>
              <fill>
                <patternFill patternType="mediumGray"/>
              </fill>
            </x14:dxf>
          </x14:cfRule>
          <xm:sqref>N48</xm:sqref>
        </x14:conditionalFormatting>
        <x14:conditionalFormatting xmlns:xm="http://schemas.microsoft.com/office/excel/2006/main">
          <x14:cfRule type="expression" priority="22" id="{8A0FA489-00C5-4375-90EE-135E862F2487}">
            <xm:f>入力!$B$14+3&lt;27</xm:f>
            <x14:dxf>
              <fill>
                <patternFill patternType="mediumGray"/>
              </fill>
            </x14:dxf>
          </x14:cfRule>
          <xm:sqref>O48</xm:sqref>
        </x14:conditionalFormatting>
        <x14:conditionalFormatting xmlns:xm="http://schemas.microsoft.com/office/excel/2006/main">
          <x14:cfRule type="expression" priority="20" id="{8312F63A-A96A-4C30-B105-BA8A44BA9CBF}">
            <xm:f>入力!$B$14+4&lt;27</xm:f>
            <x14:dxf>
              <fill>
                <patternFill patternType="mediumGray"/>
              </fill>
            </x14:dxf>
          </x14:cfRule>
          <xm:sqref>Q11</xm:sqref>
        </x14:conditionalFormatting>
        <x14:conditionalFormatting xmlns:xm="http://schemas.microsoft.com/office/excel/2006/main">
          <x14:cfRule type="expression" priority="19" id="{31D2DED0-7458-45A0-99D6-5761D0212A41}">
            <xm:f>入力!$B$14+4&lt;27</xm:f>
            <x14:dxf>
              <fill>
                <patternFill patternType="mediumGray"/>
              </fill>
            </x14:dxf>
          </x14:cfRule>
          <xm:sqref>Q18</xm:sqref>
        </x14:conditionalFormatting>
        <x14:conditionalFormatting xmlns:xm="http://schemas.microsoft.com/office/excel/2006/main">
          <x14:cfRule type="expression" priority="18" id="{73F687D7-1056-457B-81A7-022AF45435B1}">
            <xm:f>入力!$B$14+4&lt;27</xm:f>
            <x14:dxf>
              <fill>
                <patternFill patternType="mediumGray"/>
              </fill>
            </x14:dxf>
          </x14:cfRule>
          <xm:sqref>Q25</xm:sqref>
        </x14:conditionalFormatting>
        <x14:conditionalFormatting xmlns:xm="http://schemas.microsoft.com/office/excel/2006/main">
          <x14:cfRule type="expression" priority="17" id="{79EA2035-097A-4422-A997-601C59F90764}">
            <xm:f>入力!$B$14+4&lt;27</xm:f>
            <x14:dxf>
              <fill>
                <patternFill patternType="mediumGray"/>
              </fill>
            </x14:dxf>
          </x14:cfRule>
          <xm:sqref>Q31</xm:sqref>
        </x14:conditionalFormatting>
        <x14:conditionalFormatting xmlns:xm="http://schemas.microsoft.com/office/excel/2006/main">
          <x14:cfRule type="expression" priority="16" id="{E5EFF7E7-134C-4EA8-9FC7-A0E5DD739137}">
            <xm:f>入力!$B$14+4&lt;27</xm:f>
            <x14:dxf>
              <fill>
                <patternFill patternType="mediumGray"/>
              </fill>
            </x14:dxf>
          </x14:cfRule>
          <xm:sqref>Q34</xm:sqref>
        </x14:conditionalFormatting>
        <x14:conditionalFormatting xmlns:xm="http://schemas.microsoft.com/office/excel/2006/main">
          <x14:cfRule type="expression" priority="15" id="{4895C15C-DF6B-4372-8B49-2088A9BE164F}">
            <xm:f>入力!$B$14+4&lt;27</xm:f>
            <x14:dxf>
              <fill>
                <patternFill patternType="mediumGray"/>
              </fill>
            </x14:dxf>
          </x14:cfRule>
          <xm:sqref>Q45</xm:sqref>
        </x14:conditionalFormatting>
        <x14:conditionalFormatting xmlns:xm="http://schemas.microsoft.com/office/excel/2006/main">
          <x14:cfRule type="expression" priority="14" id="{1B85ECB4-D79E-4743-BF7B-08FBD1921E98}">
            <xm:f>入力!$B$14+4&lt;27</xm:f>
            <x14:dxf>
              <fill>
                <patternFill patternType="mediumGray"/>
              </fill>
            </x14:dxf>
          </x14:cfRule>
          <xm:sqref>Q54</xm:sqref>
        </x14:conditionalFormatting>
        <x14:conditionalFormatting xmlns:xm="http://schemas.microsoft.com/office/excel/2006/main">
          <x14:cfRule type="expression" priority="13" id="{2EC7AC30-13CF-445D-AD91-CE969F913AFA}">
            <xm:f>入力!$B$14+4&lt;27</xm:f>
            <x14:dxf>
              <fill>
                <patternFill patternType="mediumGray"/>
              </fill>
            </x14:dxf>
          </x14:cfRule>
          <xm:sqref>Q57</xm:sqref>
        </x14:conditionalFormatting>
        <x14:conditionalFormatting xmlns:xm="http://schemas.microsoft.com/office/excel/2006/main">
          <x14:cfRule type="expression" priority="11" id="{DE2C3E35-1419-43E9-B88E-5172D7E195BE}">
            <xm:f>入力!$B$14+4&lt;27</xm:f>
            <x14:dxf>
              <fill>
                <patternFill patternType="mediumGray"/>
              </fill>
            </x14:dxf>
          </x14:cfRule>
          <xm:sqref>Q64</xm:sqref>
        </x14:conditionalFormatting>
        <x14:conditionalFormatting xmlns:xm="http://schemas.microsoft.com/office/excel/2006/main">
          <x14:cfRule type="expression" priority="10" id="{2B64C19D-9E01-4F37-91CC-4FF2AC25FDCC}">
            <xm:f>入力!$B$14+4&lt;27</xm:f>
            <x14:dxf>
              <fill>
                <patternFill patternType="mediumGray"/>
              </fill>
            </x14:dxf>
          </x14:cfRule>
          <xm:sqref>Q65</xm:sqref>
        </x14:conditionalFormatting>
        <x14:conditionalFormatting xmlns:xm="http://schemas.microsoft.com/office/excel/2006/main">
          <x14:cfRule type="expression" priority="9" id="{FD85C7E5-F901-468C-9489-EDF1BE1DEDF7}">
            <xm:f>入力!$B$14+4&lt;27</xm:f>
            <x14:dxf>
              <fill>
                <patternFill patternType="mediumGray"/>
              </fill>
            </x14:dxf>
          </x14:cfRule>
          <xm:sqref>Q66</xm:sqref>
        </x14:conditionalFormatting>
        <x14:conditionalFormatting xmlns:xm="http://schemas.microsoft.com/office/excel/2006/main">
          <x14:cfRule type="expression" priority="8" id="{720F2B74-FDDC-4C9D-8E79-5A19655783B5}">
            <xm:f>入力!$B$14+4&lt;27</xm:f>
            <x14:dxf>
              <fill>
                <patternFill patternType="mediumGray"/>
              </fill>
            </x14:dxf>
          </x14:cfRule>
          <xm:sqref>Q67</xm:sqref>
        </x14:conditionalFormatting>
        <x14:conditionalFormatting xmlns:xm="http://schemas.microsoft.com/office/excel/2006/main">
          <x14:cfRule type="expression" priority="7" id="{DBB99001-DAA3-468C-A99A-7CB57DF8798F}">
            <xm:f>入力!$B$14+4&lt;27</xm:f>
            <x14:dxf>
              <fill>
                <patternFill patternType="mediumGray"/>
              </fill>
            </x14:dxf>
          </x14:cfRule>
          <xm:sqref>Q68</xm:sqref>
        </x14:conditionalFormatting>
        <x14:conditionalFormatting xmlns:xm="http://schemas.microsoft.com/office/excel/2006/main">
          <x14:cfRule type="expression" priority="6" id="{51097C5D-77A0-44D1-AC56-B9859A630C99}">
            <xm:f>入力!$B$14+4&lt;27</xm:f>
            <x14:dxf>
              <fill>
                <patternFill patternType="mediumGray"/>
              </fill>
            </x14:dxf>
          </x14:cfRule>
          <xm:sqref>Q69</xm:sqref>
        </x14:conditionalFormatting>
        <x14:conditionalFormatting xmlns:xm="http://schemas.microsoft.com/office/excel/2006/main">
          <x14:cfRule type="expression" priority="5" id="{B0A5DEE7-19F9-46C6-A1AD-D70D28D2EA9B}">
            <xm:f>入力!$B$14+4&lt;27</xm:f>
            <x14:dxf>
              <fill>
                <patternFill patternType="mediumGray"/>
              </fill>
            </x14:dxf>
          </x14:cfRule>
          <xm:sqref>Q70</xm:sqref>
        </x14:conditionalFormatting>
        <x14:conditionalFormatting xmlns:xm="http://schemas.microsoft.com/office/excel/2006/main">
          <x14:cfRule type="expression" priority="4" id="{E8F61D88-5733-4CF9-BDAA-87B78C5EF58B}">
            <xm:f>入力!$B$14+4&lt;27</xm:f>
            <x14:dxf>
              <fill>
                <patternFill patternType="mediumGray"/>
              </fill>
            </x14:dxf>
          </x14:cfRule>
          <xm:sqref>Q63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75"/>
  <sheetViews>
    <sheetView view="pageBreakPreview" zoomScale="60" zoomScaleNormal="85" workbookViewId="0">
      <pane xSplit="4" ySplit="3" topLeftCell="E4" activePane="bottomRight" state="frozen"/>
      <selection activeCell="S26" sqref="S26"/>
      <selection pane="topRight" activeCell="S26" sqref="S26"/>
      <selection pane="bottomLeft" activeCell="S26" sqref="S26"/>
      <selection pane="bottomRight"/>
    </sheetView>
  </sheetViews>
  <sheetFormatPr defaultColWidth="9" defaultRowHeight="14.4" x14ac:dyDescent="0.2"/>
  <cols>
    <col min="1" max="1" width="3.77734375" style="8" customWidth="1"/>
    <col min="2" max="2" width="1.88671875" style="8" customWidth="1"/>
    <col min="3" max="3" width="2" style="8" customWidth="1"/>
    <col min="4" max="4" width="39.77734375" style="8" customWidth="1"/>
    <col min="5" max="17" width="13.6640625" style="8" customWidth="1"/>
    <col min="18" max="16384" width="9" style="8"/>
  </cols>
  <sheetData>
    <row r="1" spans="1:17" s="81" customFormat="1" ht="69.75" customHeight="1" x14ac:dyDescent="0.2">
      <c r="A1" s="17" t="str">
        <f>CONCATENATE("●月別資金繰表（",入力!B14,"）")</f>
        <v>●月別資金繰表（令和8年度）</v>
      </c>
      <c r="B1" s="123"/>
      <c r="C1" s="123"/>
      <c r="D1" s="123"/>
      <c r="E1" s="17" t="str">
        <f>CONCATENATE("（","法人番号：",入力!B2,"　　","法人名：",入力!B5,"）")</f>
        <v>（法人番号：131999　　法人名：東西大学）</v>
      </c>
      <c r="F1" s="122"/>
      <c r="G1" s="122"/>
      <c r="H1" s="122"/>
      <c r="I1" s="122"/>
      <c r="J1" s="272"/>
      <c r="K1" s="272"/>
      <c r="L1" s="123"/>
      <c r="M1" s="123"/>
      <c r="N1" s="123"/>
      <c r="O1" s="123"/>
      <c r="P1" s="879" t="s">
        <v>382</v>
      </c>
      <c r="Q1" s="966"/>
    </row>
    <row r="2" spans="1:17" s="81" customFormat="1" ht="20.25" customHeight="1" x14ac:dyDescent="0.2">
      <c r="A2" s="122"/>
      <c r="B2" s="123"/>
      <c r="C2" s="123"/>
      <c r="D2" s="123"/>
      <c r="E2" s="124"/>
      <c r="F2" s="124"/>
      <c r="G2" s="124"/>
      <c r="H2" s="124"/>
      <c r="I2" s="124"/>
      <c r="J2" s="273"/>
      <c r="K2" s="273"/>
      <c r="L2" s="148"/>
      <c r="M2" s="148"/>
      <c r="N2" s="148"/>
      <c r="O2" s="148"/>
      <c r="P2" s="967" t="str">
        <f>様式1!K2</f>
        <v>新規</v>
      </c>
      <c r="Q2" s="968"/>
    </row>
    <row r="3" spans="1:17" ht="32.25" customHeight="1" x14ac:dyDescent="0.2">
      <c r="A3" s="885" t="s">
        <v>49</v>
      </c>
      <c r="B3" s="886"/>
      <c r="C3" s="969"/>
      <c r="D3" s="969"/>
      <c r="E3" s="67" t="s">
        <v>87</v>
      </c>
      <c r="F3" s="68" t="s">
        <v>88</v>
      </c>
      <c r="G3" s="68" t="s">
        <v>89</v>
      </c>
      <c r="H3" s="68" t="s">
        <v>90</v>
      </c>
      <c r="I3" s="68" t="s">
        <v>91</v>
      </c>
      <c r="J3" s="68" t="s">
        <v>92</v>
      </c>
      <c r="K3" s="68" t="s">
        <v>93</v>
      </c>
      <c r="L3" s="68" t="s">
        <v>94</v>
      </c>
      <c r="M3" s="68" t="s">
        <v>95</v>
      </c>
      <c r="N3" s="68" t="s">
        <v>96</v>
      </c>
      <c r="O3" s="68" t="s">
        <v>97</v>
      </c>
      <c r="P3" s="69" t="s">
        <v>98</v>
      </c>
      <c r="Q3" s="69" t="s">
        <v>201</v>
      </c>
    </row>
    <row r="4" spans="1:17" ht="29.25" customHeight="1" x14ac:dyDescent="0.2">
      <c r="A4" s="970" t="s">
        <v>86</v>
      </c>
      <c r="B4" s="971"/>
      <c r="C4" s="971"/>
      <c r="D4" s="971"/>
      <c r="E4" s="443"/>
      <c r="F4" s="444">
        <f>E74</f>
        <v>0</v>
      </c>
      <c r="G4" s="444">
        <f t="shared" ref="G4:P4" si="0">F74</f>
        <v>0</v>
      </c>
      <c r="H4" s="444">
        <f t="shared" si="0"/>
        <v>0</v>
      </c>
      <c r="I4" s="444">
        <f t="shared" si="0"/>
        <v>0</v>
      </c>
      <c r="J4" s="444">
        <f t="shared" si="0"/>
        <v>0</v>
      </c>
      <c r="K4" s="444">
        <f t="shared" si="0"/>
        <v>0</v>
      </c>
      <c r="L4" s="444">
        <f t="shared" si="0"/>
        <v>0</v>
      </c>
      <c r="M4" s="444">
        <f t="shared" si="0"/>
        <v>0</v>
      </c>
      <c r="N4" s="444">
        <f t="shared" si="0"/>
        <v>0</v>
      </c>
      <c r="O4" s="444">
        <f t="shared" si="0"/>
        <v>0</v>
      </c>
      <c r="P4" s="445">
        <f t="shared" si="0"/>
        <v>0</v>
      </c>
      <c r="Q4" s="445">
        <f>E4</f>
        <v>0</v>
      </c>
    </row>
    <row r="5" spans="1:17" ht="26.25" customHeight="1" x14ac:dyDescent="0.2">
      <c r="A5" s="882" t="s">
        <v>1</v>
      </c>
      <c r="B5" s="70" t="s">
        <v>5</v>
      </c>
      <c r="C5" s="71"/>
      <c r="D5" s="72"/>
      <c r="E5" s="326">
        <f>E6+E7</f>
        <v>0</v>
      </c>
      <c r="F5" s="327">
        <f t="shared" ref="F5:P5" si="1">F6+F7</f>
        <v>0</v>
      </c>
      <c r="G5" s="327">
        <f t="shared" si="1"/>
        <v>0</v>
      </c>
      <c r="H5" s="327">
        <f t="shared" si="1"/>
        <v>0</v>
      </c>
      <c r="I5" s="327">
        <f t="shared" si="1"/>
        <v>0</v>
      </c>
      <c r="J5" s="327">
        <f t="shared" si="1"/>
        <v>0</v>
      </c>
      <c r="K5" s="327">
        <f t="shared" si="1"/>
        <v>0</v>
      </c>
      <c r="L5" s="327">
        <f t="shared" si="1"/>
        <v>0</v>
      </c>
      <c r="M5" s="327">
        <f t="shared" si="1"/>
        <v>0</v>
      </c>
      <c r="N5" s="327">
        <f t="shared" si="1"/>
        <v>0</v>
      </c>
      <c r="O5" s="327">
        <f t="shared" si="1"/>
        <v>0</v>
      </c>
      <c r="P5" s="328">
        <f t="shared" si="1"/>
        <v>0</v>
      </c>
      <c r="Q5" s="330">
        <f>SUM(E5:P5)</f>
        <v>0</v>
      </c>
    </row>
    <row r="6" spans="1:17" ht="26.25" customHeight="1" x14ac:dyDescent="0.2">
      <c r="A6" s="892"/>
      <c r="B6" s="73"/>
      <c r="C6" s="74" t="s">
        <v>33</v>
      </c>
      <c r="D6" s="75"/>
      <c r="E6" s="235"/>
      <c r="F6" s="236"/>
      <c r="G6" s="236"/>
      <c r="H6" s="236"/>
      <c r="I6" s="236"/>
      <c r="J6" s="236"/>
      <c r="K6" s="236"/>
      <c r="L6" s="236"/>
      <c r="M6" s="236"/>
      <c r="N6" s="236"/>
      <c r="O6" s="236"/>
      <c r="P6" s="237"/>
      <c r="Q6" s="238">
        <f>SUM(E6:P6)</f>
        <v>0</v>
      </c>
    </row>
    <row r="7" spans="1:17" ht="26.25" customHeight="1" x14ac:dyDescent="0.2">
      <c r="A7" s="892"/>
      <c r="B7" s="73"/>
      <c r="C7" s="74" t="s">
        <v>32</v>
      </c>
      <c r="D7" s="75"/>
      <c r="E7" s="235"/>
      <c r="F7" s="236"/>
      <c r="G7" s="236"/>
      <c r="H7" s="236"/>
      <c r="I7" s="236"/>
      <c r="J7" s="236"/>
      <c r="K7" s="236"/>
      <c r="L7" s="236"/>
      <c r="M7" s="236"/>
      <c r="N7" s="236"/>
      <c r="O7" s="236"/>
      <c r="P7" s="237"/>
      <c r="Q7" s="238">
        <f t="shared" ref="Q7:Q8" si="2">SUM(E7:P7)</f>
        <v>0</v>
      </c>
    </row>
    <row r="8" spans="1:17" ht="26.25" customHeight="1" x14ac:dyDescent="0.2">
      <c r="A8" s="892"/>
      <c r="B8" s="73" t="s">
        <v>6</v>
      </c>
      <c r="C8" s="74"/>
      <c r="D8" s="75"/>
      <c r="E8" s="235"/>
      <c r="F8" s="236"/>
      <c r="G8" s="236"/>
      <c r="H8" s="236"/>
      <c r="I8" s="236"/>
      <c r="J8" s="236"/>
      <c r="K8" s="236"/>
      <c r="L8" s="236"/>
      <c r="M8" s="236"/>
      <c r="N8" s="236"/>
      <c r="O8" s="236"/>
      <c r="P8" s="237"/>
      <c r="Q8" s="238">
        <f t="shared" si="2"/>
        <v>0</v>
      </c>
    </row>
    <row r="9" spans="1:17" ht="26.25" customHeight="1" x14ac:dyDescent="0.2">
      <c r="A9" s="892"/>
      <c r="B9" s="73" t="s">
        <v>7</v>
      </c>
      <c r="C9" s="74"/>
      <c r="D9" s="75"/>
      <c r="E9" s="235">
        <f t="shared" ref="E9:P9" si="3">E10+E11</f>
        <v>0</v>
      </c>
      <c r="F9" s="236">
        <f t="shared" si="3"/>
        <v>0</v>
      </c>
      <c r="G9" s="236">
        <f t="shared" si="3"/>
        <v>0</v>
      </c>
      <c r="H9" s="236">
        <f t="shared" si="3"/>
        <v>0</v>
      </c>
      <c r="I9" s="236">
        <f t="shared" si="3"/>
        <v>0</v>
      </c>
      <c r="J9" s="236">
        <f t="shared" si="3"/>
        <v>0</v>
      </c>
      <c r="K9" s="236">
        <f t="shared" si="3"/>
        <v>0</v>
      </c>
      <c r="L9" s="236">
        <f t="shared" si="3"/>
        <v>0</v>
      </c>
      <c r="M9" s="236">
        <f t="shared" si="3"/>
        <v>0</v>
      </c>
      <c r="N9" s="236">
        <f t="shared" si="3"/>
        <v>0</v>
      </c>
      <c r="O9" s="236">
        <f t="shared" si="3"/>
        <v>0</v>
      </c>
      <c r="P9" s="237">
        <f t="shared" si="3"/>
        <v>0</v>
      </c>
      <c r="Q9" s="238">
        <f t="shared" ref="Q9:Q72" si="4">SUM(E9:P9)</f>
        <v>0</v>
      </c>
    </row>
    <row r="10" spans="1:17" ht="26.25" customHeight="1" x14ac:dyDescent="0.2">
      <c r="A10" s="892"/>
      <c r="B10" s="73"/>
      <c r="C10" s="74" t="s">
        <v>34</v>
      </c>
      <c r="D10" s="75"/>
      <c r="E10" s="235"/>
      <c r="F10" s="236"/>
      <c r="G10" s="236"/>
      <c r="H10" s="236"/>
      <c r="I10" s="236"/>
      <c r="J10" s="236"/>
      <c r="K10" s="236"/>
      <c r="L10" s="236"/>
      <c r="M10" s="236"/>
      <c r="N10" s="236"/>
      <c r="O10" s="236"/>
      <c r="P10" s="237"/>
      <c r="Q10" s="238">
        <f t="shared" ref="Q10:Q22" si="5">SUM(E10:P10)</f>
        <v>0</v>
      </c>
    </row>
    <row r="11" spans="1:17" ht="26.25" customHeight="1" x14ac:dyDescent="0.2">
      <c r="A11" s="892"/>
      <c r="B11" s="73"/>
      <c r="C11" s="74" t="s">
        <v>35</v>
      </c>
      <c r="D11" s="75"/>
      <c r="E11" s="235"/>
      <c r="F11" s="236"/>
      <c r="G11" s="236"/>
      <c r="H11" s="236"/>
      <c r="I11" s="236"/>
      <c r="J11" s="236"/>
      <c r="K11" s="236"/>
      <c r="L11" s="236"/>
      <c r="M11" s="236"/>
      <c r="N11" s="236"/>
      <c r="O11" s="236"/>
      <c r="P11" s="237"/>
      <c r="Q11" s="238">
        <f t="shared" si="5"/>
        <v>0</v>
      </c>
    </row>
    <row r="12" spans="1:17" ht="26.25" customHeight="1" x14ac:dyDescent="0.2">
      <c r="A12" s="892"/>
      <c r="B12" s="73" t="s">
        <v>8</v>
      </c>
      <c r="C12" s="74"/>
      <c r="D12" s="75"/>
      <c r="E12" s="235">
        <f t="shared" ref="E12:P12" si="6">E13+E16+E17</f>
        <v>0</v>
      </c>
      <c r="F12" s="236">
        <f t="shared" si="6"/>
        <v>0</v>
      </c>
      <c r="G12" s="236">
        <f t="shared" si="6"/>
        <v>0</v>
      </c>
      <c r="H12" s="236">
        <f t="shared" si="6"/>
        <v>0</v>
      </c>
      <c r="I12" s="236">
        <f t="shared" si="6"/>
        <v>0</v>
      </c>
      <c r="J12" s="236">
        <f t="shared" si="6"/>
        <v>0</v>
      </c>
      <c r="K12" s="236">
        <f t="shared" si="6"/>
        <v>0</v>
      </c>
      <c r="L12" s="236">
        <f t="shared" si="6"/>
        <v>0</v>
      </c>
      <c r="M12" s="236">
        <f t="shared" si="6"/>
        <v>0</v>
      </c>
      <c r="N12" s="236">
        <f t="shared" si="6"/>
        <v>0</v>
      </c>
      <c r="O12" s="236">
        <f t="shared" si="6"/>
        <v>0</v>
      </c>
      <c r="P12" s="237">
        <f t="shared" si="6"/>
        <v>0</v>
      </c>
      <c r="Q12" s="238">
        <f t="shared" si="5"/>
        <v>0</v>
      </c>
    </row>
    <row r="13" spans="1:17" ht="26.25" customHeight="1" x14ac:dyDescent="0.2">
      <c r="A13" s="892"/>
      <c r="B13" s="73"/>
      <c r="C13" s="74" t="s">
        <v>36</v>
      </c>
      <c r="D13" s="75"/>
      <c r="E13" s="235">
        <f t="shared" ref="E13:P13" si="7">E14+E15</f>
        <v>0</v>
      </c>
      <c r="F13" s="236">
        <f t="shared" si="7"/>
        <v>0</v>
      </c>
      <c r="G13" s="236">
        <f t="shared" si="7"/>
        <v>0</v>
      </c>
      <c r="H13" s="236">
        <f t="shared" si="7"/>
        <v>0</v>
      </c>
      <c r="I13" s="236">
        <f t="shared" si="7"/>
        <v>0</v>
      </c>
      <c r="J13" s="236">
        <f t="shared" si="7"/>
        <v>0</v>
      </c>
      <c r="K13" s="236">
        <f t="shared" si="7"/>
        <v>0</v>
      </c>
      <c r="L13" s="236">
        <f t="shared" si="7"/>
        <v>0</v>
      </c>
      <c r="M13" s="236">
        <f t="shared" si="7"/>
        <v>0</v>
      </c>
      <c r="N13" s="236">
        <f t="shared" si="7"/>
        <v>0</v>
      </c>
      <c r="O13" s="236">
        <f t="shared" si="7"/>
        <v>0</v>
      </c>
      <c r="P13" s="237">
        <f t="shared" si="7"/>
        <v>0</v>
      </c>
      <c r="Q13" s="238">
        <f t="shared" si="5"/>
        <v>0</v>
      </c>
    </row>
    <row r="14" spans="1:17" ht="26.25" customHeight="1" x14ac:dyDescent="0.2">
      <c r="A14" s="892"/>
      <c r="B14" s="73"/>
      <c r="C14" s="58"/>
      <c r="D14" s="121" t="s">
        <v>37</v>
      </c>
      <c r="E14" s="235"/>
      <c r="F14" s="236"/>
      <c r="G14" s="236"/>
      <c r="H14" s="236"/>
      <c r="I14" s="236"/>
      <c r="J14" s="236"/>
      <c r="K14" s="236"/>
      <c r="L14" s="236"/>
      <c r="M14" s="236"/>
      <c r="N14" s="236"/>
      <c r="O14" s="236"/>
      <c r="P14" s="237"/>
      <c r="Q14" s="238">
        <f t="shared" si="5"/>
        <v>0</v>
      </c>
    </row>
    <row r="15" spans="1:17" ht="26.25" customHeight="1" x14ac:dyDescent="0.2">
      <c r="A15" s="892"/>
      <c r="B15" s="73"/>
      <c r="C15" s="58"/>
      <c r="D15" s="74" t="s">
        <v>38</v>
      </c>
      <c r="E15" s="235"/>
      <c r="F15" s="236"/>
      <c r="G15" s="236"/>
      <c r="H15" s="236"/>
      <c r="I15" s="236"/>
      <c r="J15" s="236"/>
      <c r="K15" s="236"/>
      <c r="L15" s="236"/>
      <c r="M15" s="236"/>
      <c r="N15" s="236"/>
      <c r="O15" s="236"/>
      <c r="P15" s="237"/>
      <c r="Q15" s="238">
        <f t="shared" si="5"/>
        <v>0</v>
      </c>
    </row>
    <row r="16" spans="1:17" ht="26.25" customHeight="1" x14ac:dyDescent="0.2">
      <c r="A16" s="892"/>
      <c r="B16" s="73"/>
      <c r="C16" s="74" t="s">
        <v>39</v>
      </c>
      <c r="D16" s="75"/>
      <c r="E16" s="235"/>
      <c r="F16" s="236"/>
      <c r="G16" s="236"/>
      <c r="H16" s="236"/>
      <c r="I16" s="236"/>
      <c r="J16" s="236"/>
      <c r="K16" s="236"/>
      <c r="L16" s="236"/>
      <c r="M16" s="236"/>
      <c r="N16" s="236"/>
      <c r="O16" s="236"/>
      <c r="P16" s="237"/>
      <c r="Q16" s="238">
        <f t="shared" si="5"/>
        <v>0</v>
      </c>
    </row>
    <row r="17" spans="1:17" ht="26.25" customHeight="1" x14ac:dyDescent="0.2">
      <c r="A17" s="892"/>
      <c r="B17" s="73"/>
      <c r="C17" s="972" t="s">
        <v>40</v>
      </c>
      <c r="D17" s="973"/>
      <c r="E17" s="235"/>
      <c r="F17" s="236"/>
      <c r="G17" s="236"/>
      <c r="H17" s="236"/>
      <c r="I17" s="236"/>
      <c r="J17" s="236"/>
      <c r="K17" s="236"/>
      <c r="L17" s="236"/>
      <c r="M17" s="236"/>
      <c r="N17" s="236"/>
      <c r="O17" s="236"/>
      <c r="P17" s="237"/>
      <c r="Q17" s="238">
        <f t="shared" si="5"/>
        <v>0</v>
      </c>
    </row>
    <row r="18" spans="1:17" ht="26.25" customHeight="1" x14ac:dyDescent="0.2">
      <c r="A18" s="892"/>
      <c r="B18" s="65" t="s">
        <v>21</v>
      </c>
      <c r="C18" s="76"/>
      <c r="D18" s="21"/>
      <c r="E18" s="235">
        <f>E19+E20+E21+E22</f>
        <v>0</v>
      </c>
      <c r="F18" s="236">
        <f t="shared" ref="F18:P18" si="8">F19+F20+F21+F22</f>
        <v>0</v>
      </c>
      <c r="G18" s="236">
        <f t="shared" si="8"/>
        <v>0</v>
      </c>
      <c r="H18" s="236">
        <f t="shared" si="8"/>
        <v>0</v>
      </c>
      <c r="I18" s="236">
        <f t="shared" si="8"/>
        <v>0</v>
      </c>
      <c r="J18" s="236">
        <f t="shared" si="8"/>
        <v>0</v>
      </c>
      <c r="K18" s="236">
        <f t="shared" si="8"/>
        <v>0</v>
      </c>
      <c r="L18" s="236">
        <f t="shared" si="8"/>
        <v>0</v>
      </c>
      <c r="M18" s="236">
        <f t="shared" si="8"/>
        <v>0</v>
      </c>
      <c r="N18" s="236">
        <f t="shared" si="8"/>
        <v>0</v>
      </c>
      <c r="O18" s="236">
        <f t="shared" si="8"/>
        <v>0</v>
      </c>
      <c r="P18" s="237">
        <f t="shared" si="8"/>
        <v>0</v>
      </c>
      <c r="Q18" s="238">
        <f t="shared" si="5"/>
        <v>0</v>
      </c>
    </row>
    <row r="19" spans="1:17" ht="26.25" customHeight="1" x14ac:dyDescent="0.2">
      <c r="A19" s="892"/>
      <c r="B19" s="73"/>
      <c r="C19" s="74" t="s">
        <v>328</v>
      </c>
      <c r="D19" s="75"/>
      <c r="E19" s="235"/>
      <c r="F19" s="236"/>
      <c r="G19" s="236"/>
      <c r="H19" s="236"/>
      <c r="I19" s="236"/>
      <c r="J19" s="236"/>
      <c r="K19" s="236"/>
      <c r="L19" s="236"/>
      <c r="M19" s="236"/>
      <c r="N19" s="236"/>
      <c r="O19" s="236"/>
      <c r="P19" s="237"/>
      <c r="Q19" s="238">
        <f t="shared" si="5"/>
        <v>0</v>
      </c>
    </row>
    <row r="20" spans="1:17" ht="26.25" customHeight="1" x14ac:dyDescent="0.2">
      <c r="A20" s="892"/>
      <c r="B20" s="73"/>
      <c r="C20" s="58" t="s">
        <v>265</v>
      </c>
      <c r="D20" s="74"/>
      <c r="E20" s="235"/>
      <c r="F20" s="236"/>
      <c r="G20" s="236"/>
      <c r="H20" s="236"/>
      <c r="I20" s="236"/>
      <c r="J20" s="236"/>
      <c r="K20" s="236"/>
      <c r="L20" s="236"/>
      <c r="M20" s="236"/>
      <c r="N20" s="236"/>
      <c r="O20" s="236"/>
      <c r="P20" s="237"/>
      <c r="Q20" s="238">
        <f t="shared" si="5"/>
        <v>0</v>
      </c>
    </row>
    <row r="21" spans="1:17" ht="26.25" customHeight="1" x14ac:dyDescent="0.2">
      <c r="A21" s="892"/>
      <c r="B21" s="73"/>
      <c r="C21" s="74" t="s">
        <v>41</v>
      </c>
      <c r="D21" s="75"/>
      <c r="E21" s="235"/>
      <c r="F21" s="236"/>
      <c r="G21" s="236"/>
      <c r="H21" s="236"/>
      <c r="I21" s="236"/>
      <c r="J21" s="236"/>
      <c r="K21" s="236"/>
      <c r="L21" s="236"/>
      <c r="M21" s="236"/>
      <c r="N21" s="236"/>
      <c r="O21" s="236"/>
      <c r="P21" s="237"/>
      <c r="Q21" s="238">
        <f t="shared" si="5"/>
        <v>0</v>
      </c>
    </row>
    <row r="22" spans="1:17" ht="26.25" customHeight="1" x14ac:dyDescent="0.2">
      <c r="A22" s="892"/>
      <c r="B22" s="73"/>
      <c r="C22" s="74" t="s">
        <v>42</v>
      </c>
      <c r="D22" s="75"/>
      <c r="E22" s="235"/>
      <c r="F22" s="236"/>
      <c r="G22" s="236"/>
      <c r="H22" s="236"/>
      <c r="I22" s="236"/>
      <c r="J22" s="236"/>
      <c r="K22" s="236"/>
      <c r="L22" s="236"/>
      <c r="M22" s="236"/>
      <c r="N22" s="236"/>
      <c r="O22" s="236"/>
      <c r="P22" s="237"/>
      <c r="Q22" s="238">
        <f t="shared" si="5"/>
        <v>0</v>
      </c>
    </row>
    <row r="23" spans="1:17" ht="26.25" customHeight="1" x14ac:dyDescent="0.2">
      <c r="A23" s="892"/>
      <c r="B23" s="65" t="s">
        <v>266</v>
      </c>
      <c r="C23" s="76"/>
      <c r="D23" s="21"/>
      <c r="E23" s="235"/>
      <c r="F23" s="236"/>
      <c r="G23" s="236"/>
      <c r="H23" s="236"/>
      <c r="I23" s="236"/>
      <c r="J23" s="236"/>
      <c r="K23" s="236"/>
      <c r="L23" s="236"/>
      <c r="M23" s="236"/>
      <c r="N23" s="236"/>
      <c r="O23" s="236"/>
      <c r="P23" s="237"/>
      <c r="Q23" s="238">
        <f t="shared" si="4"/>
        <v>0</v>
      </c>
    </row>
    <row r="24" spans="1:17" ht="26.25" customHeight="1" x14ac:dyDescent="0.2">
      <c r="A24" s="892"/>
      <c r="B24" s="65" t="s">
        <v>274</v>
      </c>
      <c r="C24" s="59"/>
      <c r="D24" s="76"/>
      <c r="E24" s="235"/>
      <c r="F24" s="236"/>
      <c r="G24" s="236"/>
      <c r="H24" s="236"/>
      <c r="I24" s="236"/>
      <c r="J24" s="236"/>
      <c r="K24" s="236"/>
      <c r="L24" s="236"/>
      <c r="M24" s="236"/>
      <c r="N24" s="236"/>
      <c r="O24" s="236"/>
      <c r="P24" s="237"/>
      <c r="Q24" s="238">
        <f t="shared" si="4"/>
        <v>0</v>
      </c>
    </row>
    <row r="25" spans="1:17" ht="26.25" customHeight="1" x14ac:dyDescent="0.2">
      <c r="A25" s="892"/>
      <c r="B25" s="65" t="s">
        <v>9</v>
      </c>
      <c r="C25" s="76"/>
      <c r="D25" s="21"/>
      <c r="E25" s="235">
        <f t="shared" ref="E25:P25" si="9">E26+E27</f>
        <v>0</v>
      </c>
      <c r="F25" s="236">
        <f t="shared" si="9"/>
        <v>0</v>
      </c>
      <c r="G25" s="236">
        <f t="shared" si="9"/>
        <v>0</v>
      </c>
      <c r="H25" s="236">
        <f t="shared" si="9"/>
        <v>0</v>
      </c>
      <c r="I25" s="236">
        <f t="shared" si="9"/>
        <v>0</v>
      </c>
      <c r="J25" s="236">
        <f t="shared" si="9"/>
        <v>0</v>
      </c>
      <c r="K25" s="236">
        <f t="shared" si="9"/>
        <v>0</v>
      </c>
      <c r="L25" s="236">
        <f t="shared" si="9"/>
        <v>0</v>
      </c>
      <c r="M25" s="236">
        <f t="shared" si="9"/>
        <v>0</v>
      </c>
      <c r="N25" s="236">
        <f t="shared" si="9"/>
        <v>0</v>
      </c>
      <c r="O25" s="236">
        <f t="shared" si="9"/>
        <v>0</v>
      </c>
      <c r="P25" s="237">
        <f t="shared" si="9"/>
        <v>0</v>
      </c>
      <c r="Q25" s="238">
        <f t="shared" si="4"/>
        <v>0</v>
      </c>
    </row>
    <row r="26" spans="1:17" ht="26.25" customHeight="1" x14ac:dyDescent="0.2">
      <c r="A26" s="892"/>
      <c r="B26" s="65"/>
      <c r="C26" s="76" t="s">
        <v>74</v>
      </c>
      <c r="D26" s="21"/>
      <c r="E26" s="235"/>
      <c r="F26" s="236"/>
      <c r="G26" s="236"/>
      <c r="H26" s="236"/>
      <c r="I26" s="236"/>
      <c r="J26" s="236"/>
      <c r="K26" s="236"/>
      <c r="L26" s="236"/>
      <c r="M26" s="236"/>
      <c r="N26" s="236"/>
      <c r="O26" s="236"/>
      <c r="P26" s="237"/>
      <c r="Q26" s="238">
        <f t="shared" si="4"/>
        <v>0</v>
      </c>
    </row>
    <row r="27" spans="1:17" ht="26.25" customHeight="1" x14ac:dyDescent="0.2">
      <c r="A27" s="892"/>
      <c r="B27" s="65"/>
      <c r="C27" s="76" t="s">
        <v>75</v>
      </c>
      <c r="D27" s="21"/>
      <c r="E27" s="235"/>
      <c r="F27" s="236"/>
      <c r="G27" s="236"/>
      <c r="H27" s="236"/>
      <c r="I27" s="236"/>
      <c r="J27" s="236"/>
      <c r="K27" s="236"/>
      <c r="L27" s="236"/>
      <c r="M27" s="236"/>
      <c r="N27" s="236"/>
      <c r="O27" s="236"/>
      <c r="P27" s="237"/>
      <c r="Q27" s="238">
        <f t="shared" si="4"/>
        <v>0</v>
      </c>
    </row>
    <row r="28" spans="1:17" ht="26.25" customHeight="1" x14ac:dyDescent="0.2">
      <c r="A28" s="892"/>
      <c r="B28" s="65" t="s">
        <v>43</v>
      </c>
      <c r="C28" s="76"/>
      <c r="D28" s="21"/>
      <c r="E28" s="235">
        <f t="shared" ref="E28:P28" si="10">E29+E30+E31</f>
        <v>0</v>
      </c>
      <c r="F28" s="236">
        <f t="shared" si="10"/>
        <v>0</v>
      </c>
      <c r="G28" s="236">
        <f t="shared" si="10"/>
        <v>0</v>
      </c>
      <c r="H28" s="236">
        <f t="shared" si="10"/>
        <v>0</v>
      </c>
      <c r="I28" s="236">
        <f t="shared" si="10"/>
        <v>0</v>
      </c>
      <c r="J28" s="236">
        <f t="shared" si="10"/>
        <v>0</v>
      </c>
      <c r="K28" s="236">
        <f t="shared" si="10"/>
        <v>0</v>
      </c>
      <c r="L28" s="236">
        <f t="shared" si="10"/>
        <v>0</v>
      </c>
      <c r="M28" s="236">
        <f t="shared" si="10"/>
        <v>0</v>
      </c>
      <c r="N28" s="236">
        <f t="shared" si="10"/>
        <v>0</v>
      </c>
      <c r="O28" s="236">
        <f t="shared" si="10"/>
        <v>0</v>
      </c>
      <c r="P28" s="237">
        <f t="shared" si="10"/>
        <v>0</v>
      </c>
      <c r="Q28" s="238">
        <f t="shared" si="4"/>
        <v>0</v>
      </c>
    </row>
    <row r="29" spans="1:17" ht="26.25" customHeight="1" x14ac:dyDescent="0.2">
      <c r="A29" s="892"/>
      <c r="B29" s="73"/>
      <c r="C29" s="74" t="s">
        <v>44</v>
      </c>
      <c r="D29" s="75"/>
      <c r="E29" s="235"/>
      <c r="F29" s="236"/>
      <c r="G29" s="236"/>
      <c r="H29" s="236"/>
      <c r="I29" s="236"/>
      <c r="J29" s="236"/>
      <c r="K29" s="236"/>
      <c r="L29" s="236"/>
      <c r="M29" s="236"/>
      <c r="N29" s="236"/>
      <c r="O29" s="236"/>
      <c r="P29" s="237"/>
      <c r="Q29" s="238">
        <f t="shared" si="4"/>
        <v>0</v>
      </c>
    </row>
    <row r="30" spans="1:17" ht="26.25" customHeight="1" x14ac:dyDescent="0.2">
      <c r="A30" s="892"/>
      <c r="B30" s="73"/>
      <c r="C30" s="74" t="s">
        <v>45</v>
      </c>
      <c r="D30" s="75"/>
      <c r="E30" s="235"/>
      <c r="F30" s="236"/>
      <c r="G30" s="236"/>
      <c r="H30" s="236"/>
      <c r="I30" s="236"/>
      <c r="J30" s="236"/>
      <c r="K30" s="236"/>
      <c r="L30" s="236"/>
      <c r="M30" s="236"/>
      <c r="N30" s="236"/>
      <c r="O30" s="236"/>
      <c r="P30" s="237"/>
      <c r="Q30" s="238">
        <f t="shared" si="4"/>
        <v>0</v>
      </c>
    </row>
    <row r="31" spans="1:17" ht="26.25" customHeight="1" x14ac:dyDescent="0.2">
      <c r="A31" s="892"/>
      <c r="B31" s="73"/>
      <c r="C31" s="74" t="s">
        <v>46</v>
      </c>
      <c r="D31" s="75"/>
      <c r="E31" s="235"/>
      <c r="F31" s="236"/>
      <c r="G31" s="236"/>
      <c r="H31" s="236"/>
      <c r="I31" s="236"/>
      <c r="J31" s="236"/>
      <c r="K31" s="236"/>
      <c r="L31" s="236"/>
      <c r="M31" s="236"/>
      <c r="N31" s="236"/>
      <c r="O31" s="236"/>
      <c r="P31" s="237"/>
      <c r="Q31" s="238">
        <f t="shared" si="4"/>
        <v>0</v>
      </c>
    </row>
    <row r="32" spans="1:17" ht="26.25" customHeight="1" x14ac:dyDescent="0.2">
      <c r="A32" s="892"/>
      <c r="B32" s="65" t="s">
        <v>10</v>
      </c>
      <c r="C32" s="76"/>
      <c r="D32" s="21"/>
      <c r="E32" s="235"/>
      <c r="F32" s="236"/>
      <c r="G32" s="236"/>
      <c r="H32" s="236"/>
      <c r="I32" s="236"/>
      <c r="J32" s="236"/>
      <c r="K32" s="236"/>
      <c r="L32" s="236"/>
      <c r="M32" s="236"/>
      <c r="N32" s="236"/>
      <c r="O32" s="236"/>
      <c r="P32" s="237"/>
      <c r="Q32" s="238">
        <f t="shared" si="4"/>
        <v>0</v>
      </c>
    </row>
    <row r="33" spans="1:17" ht="26.25" customHeight="1" x14ac:dyDescent="0.2">
      <c r="A33" s="892"/>
      <c r="B33" s="65" t="s">
        <v>11</v>
      </c>
      <c r="C33" s="76"/>
      <c r="D33" s="21"/>
      <c r="E33" s="235">
        <f>E34+E35+E36+E37+E38</f>
        <v>0</v>
      </c>
      <c r="F33" s="236">
        <f t="shared" ref="F33:P33" si="11">F34+F35+F36+F37+F38</f>
        <v>0</v>
      </c>
      <c r="G33" s="236">
        <f t="shared" si="11"/>
        <v>0</v>
      </c>
      <c r="H33" s="236">
        <f t="shared" si="11"/>
        <v>0</v>
      </c>
      <c r="I33" s="236">
        <f t="shared" si="11"/>
        <v>0</v>
      </c>
      <c r="J33" s="236">
        <f t="shared" si="11"/>
        <v>0</v>
      </c>
      <c r="K33" s="236">
        <f t="shared" si="11"/>
        <v>0</v>
      </c>
      <c r="L33" s="236">
        <f t="shared" si="11"/>
        <v>0</v>
      </c>
      <c r="M33" s="236">
        <f t="shared" si="11"/>
        <v>0</v>
      </c>
      <c r="N33" s="236">
        <f t="shared" si="11"/>
        <v>0</v>
      </c>
      <c r="O33" s="236">
        <f t="shared" si="11"/>
        <v>0</v>
      </c>
      <c r="P33" s="237">
        <f t="shared" si="11"/>
        <v>0</v>
      </c>
      <c r="Q33" s="238">
        <f>SUM(E33:P33)</f>
        <v>0</v>
      </c>
    </row>
    <row r="34" spans="1:17" ht="26.25" customHeight="1" x14ac:dyDescent="0.2">
      <c r="A34" s="892"/>
      <c r="B34" s="73"/>
      <c r="C34" s="58" t="s">
        <v>267</v>
      </c>
      <c r="D34" s="74"/>
      <c r="E34" s="235"/>
      <c r="F34" s="236"/>
      <c r="G34" s="236"/>
      <c r="H34" s="236"/>
      <c r="I34" s="236"/>
      <c r="J34" s="236"/>
      <c r="K34" s="236"/>
      <c r="L34" s="236"/>
      <c r="M34" s="236"/>
      <c r="N34" s="236"/>
      <c r="O34" s="236"/>
      <c r="P34" s="237"/>
      <c r="Q34" s="238">
        <f t="shared" ref="Q34:Q38" si="12">SUM(E34:P34)</f>
        <v>0</v>
      </c>
    </row>
    <row r="35" spans="1:17" ht="26.25" customHeight="1" x14ac:dyDescent="0.2">
      <c r="A35" s="892"/>
      <c r="B35" s="73"/>
      <c r="C35" s="58" t="s">
        <v>268</v>
      </c>
      <c r="D35" s="74"/>
      <c r="E35" s="235"/>
      <c r="F35" s="236"/>
      <c r="G35" s="236"/>
      <c r="H35" s="236"/>
      <c r="I35" s="236"/>
      <c r="J35" s="236"/>
      <c r="K35" s="236"/>
      <c r="L35" s="236"/>
      <c r="M35" s="236"/>
      <c r="N35" s="236"/>
      <c r="O35" s="236"/>
      <c r="P35" s="237"/>
      <c r="Q35" s="238">
        <f t="shared" si="12"/>
        <v>0</v>
      </c>
    </row>
    <row r="36" spans="1:17" ht="26.25" customHeight="1" x14ac:dyDescent="0.2">
      <c r="A36" s="892"/>
      <c r="B36" s="73"/>
      <c r="C36" s="74" t="s">
        <v>329</v>
      </c>
      <c r="D36" s="75"/>
      <c r="E36" s="235"/>
      <c r="F36" s="236"/>
      <c r="G36" s="236"/>
      <c r="H36" s="236"/>
      <c r="I36" s="236"/>
      <c r="J36" s="236"/>
      <c r="K36" s="236"/>
      <c r="L36" s="236"/>
      <c r="M36" s="236"/>
      <c r="N36" s="236"/>
      <c r="O36" s="236"/>
      <c r="P36" s="237"/>
      <c r="Q36" s="238">
        <f t="shared" si="12"/>
        <v>0</v>
      </c>
    </row>
    <row r="37" spans="1:17" ht="26.25" customHeight="1" x14ac:dyDescent="0.2">
      <c r="A37" s="892"/>
      <c r="B37" s="73"/>
      <c r="C37" s="74" t="s">
        <v>47</v>
      </c>
      <c r="D37" s="75"/>
      <c r="E37" s="235"/>
      <c r="F37" s="236"/>
      <c r="G37" s="236"/>
      <c r="H37" s="236"/>
      <c r="I37" s="236"/>
      <c r="J37" s="236"/>
      <c r="K37" s="236"/>
      <c r="L37" s="236"/>
      <c r="M37" s="236"/>
      <c r="N37" s="236"/>
      <c r="O37" s="236"/>
      <c r="P37" s="237"/>
      <c r="Q37" s="238">
        <f t="shared" ref="Q37" si="13">SUM(E37:P37)</f>
        <v>0</v>
      </c>
    </row>
    <row r="38" spans="1:17" ht="26.25" customHeight="1" x14ac:dyDescent="0.2">
      <c r="A38" s="892"/>
      <c r="B38" s="275"/>
      <c r="C38" s="276" t="s">
        <v>48</v>
      </c>
      <c r="D38" s="277"/>
      <c r="E38" s="239"/>
      <c r="F38" s="240"/>
      <c r="G38" s="240"/>
      <c r="H38" s="240"/>
      <c r="I38" s="240"/>
      <c r="J38" s="240"/>
      <c r="K38" s="240"/>
      <c r="L38" s="240"/>
      <c r="M38" s="240"/>
      <c r="N38" s="240"/>
      <c r="O38" s="240"/>
      <c r="P38" s="241"/>
      <c r="Q38" s="238">
        <f t="shared" si="12"/>
        <v>0</v>
      </c>
    </row>
    <row r="39" spans="1:17" ht="26.25" customHeight="1" x14ac:dyDescent="0.2">
      <c r="A39" s="892"/>
      <c r="B39" s="766" t="s">
        <v>12</v>
      </c>
      <c r="C39" s="767"/>
      <c r="D39" s="767"/>
      <c r="E39" s="768">
        <f>E40+E41+E42</f>
        <v>0</v>
      </c>
      <c r="F39" s="769">
        <f>F40+F41+F42</f>
        <v>0</v>
      </c>
      <c r="G39" s="769">
        <f t="shared" ref="G39:P39" si="14">G40+G41+G42</f>
        <v>0</v>
      </c>
      <c r="H39" s="769">
        <f t="shared" si="14"/>
        <v>0</v>
      </c>
      <c r="I39" s="769">
        <f t="shared" si="14"/>
        <v>0</v>
      </c>
      <c r="J39" s="769">
        <f t="shared" si="14"/>
        <v>0</v>
      </c>
      <c r="K39" s="769">
        <f t="shared" si="14"/>
        <v>0</v>
      </c>
      <c r="L39" s="769">
        <f t="shared" si="14"/>
        <v>0</v>
      </c>
      <c r="M39" s="769">
        <f t="shared" si="14"/>
        <v>0</v>
      </c>
      <c r="N39" s="769">
        <f t="shared" si="14"/>
        <v>0</v>
      </c>
      <c r="O39" s="769">
        <f t="shared" si="14"/>
        <v>0</v>
      </c>
      <c r="P39" s="769">
        <f t="shared" si="14"/>
        <v>0</v>
      </c>
      <c r="Q39" s="770">
        <f t="shared" ref="Q39:Q41" si="15">SUM(E39:P39)</f>
        <v>0</v>
      </c>
    </row>
    <row r="40" spans="1:17" ht="26.25" customHeight="1" x14ac:dyDescent="0.2">
      <c r="A40" s="892"/>
      <c r="B40" s="766"/>
      <c r="C40" s="767" t="s">
        <v>60</v>
      </c>
      <c r="D40" s="767"/>
      <c r="E40" s="768"/>
      <c r="F40" s="769"/>
      <c r="G40" s="771"/>
      <c r="H40" s="771"/>
      <c r="I40" s="771"/>
      <c r="J40" s="771"/>
      <c r="K40" s="771"/>
      <c r="L40" s="771"/>
      <c r="M40" s="771"/>
      <c r="N40" s="771"/>
      <c r="O40" s="771"/>
      <c r="P40" s="772"/>
      <c r="Q40" s="770">
        <f t="shared" si="15"/>
        <v>0</v>
      </c>
    </row>
    <row r="41" spans="1:17" ht="26.25" customHeight="1" x14ac:dyDescent="0.2">
      <c r="A41" s="892"/>
      <c r="B41" s="766"/>
      <c r="C41" s="767" t="s">
        <v>55</v>
      </c>
      <c r="D41" s="767"/>
      <c r="E41" s="768"/>
      <c r="F41" s="769"/>
      <c r="G41" s="771"/>
      <c r="H41" s="771"/>
      <c r="I41" s="771"/>
      <c r="J41" s="771"/>
      <c r="K41" s="771"/>
      <c r="L41" s="771"/>
      <c r="M41" s="771"/>
      <c r="N41" s="771"/>
      <c r="O41" s="771"/>
      <c r="P41" s="772"/>
      <c r="Q41" s="770">
        <f t="shared" si="15"/>
        <v>0</v>
      </c>
    </row>
    <row r="42" spans="1:17" ht="26.25" customHeight="1" x14ac:dyDescent="0.2">
      <c r="A42" s="892"/>
      <c r="B42" s="773"/>
      <c r="C42" s="774" t="s">
        <v>76</v>
      </c>
      <c r="D42" s="774"/>
      <c r="E42" s="775"/>
      <c r="F42" s="776"/>
      <c r="G42" s="776"/>
      <c r="H42" s="776"/>
      <c r="I42" s="776"/>
      <c r="J42" s="776"/>
      <c r="K42" s="776"/>
      <c r="L42" s="776"/>
      <c r="M42" s="776"/>
      <c r="N42" s="776"/>
      <c r="O42" s="776"/>
      <c r="P42" s="776"/>
      <c r="Q42" s="770">
        <f>SUM(E42:P42)</f>
        <v>0</v>
      </c>
    </row>
    <row r="43" spans="1:17" ht="26.25" customHeight="1" x14ac:dyDescent="0.2">
      <c r="A43" s="893"/>
      <c r="B43" s="777" t="s">
        <v>140</v>
      </c>
      <c r="C43" s="778"/>
      <c r="D43" s="779"/>
      <c r="E43" s="780">
        <f>E5+E8+E9+E12+E18+E23+E24+E25+E28+E32+E33+E39</f>
        <v>0</v>
      </c>
      <c r="F43" s="781">
        <f>F5+F8+F9+F12+F18+F23+F24+F25+F28+F32+F33+F39</f>
        <v>0</v>
      </c>
      <c r="G43" s="781">
        <f t="shared" ref="G43:P43" si="16">G5+G8+G9+G12+G18+G23+G24+G25+G28+G32+G33+G39</f>
        <v>0</v>
      </c>
      <c r="H43" s="781">
        <f t="shared" si="16"/>
        <v>0</v>
      </c>
      <c r="I43" s="781">
        <f t="shared" si="16"/>
        <v>0</v>
      </c>
      <c r="J43" s="781">
        <f t="shared" si="16"/>
        <v>0</v>
      </c>
      <c r="K43" s="781">
        <f t="shared" si="16"/>
        <v>0</v>
      </c>
      <c r="L43" s="781">
        <f t="shared" si="16"/>
        <v>0</v>
      </c>
      <c r="M43" s="781">
        <f t="shared" si="16"/>
        <v>0</v>
      </c>
      <c r="N43" s="781">
        <f t="shared" si="16"/>
        <v>0</v>
      </c>
      <c r="O43" s="781">
        <f t="shared" si="16"/>
        <v>0</v>
      </c>
      <c r="P43" s="781">
        <f t="shared" si="16"/>
        <v>0</v>
      </c>
      <c r="Q43" s="782">
        <f>SUM(E43:P43)</f>
        <v>0</v>
      </c>
    </row>
    <row r="44" spans="1:17" ht="26.25" customHeight="1" x14ac:dyDescent="0.2">
      <c r="A44" s="882" t="s">
        <v>3</v>
      </c>
      <c r="B44" s="783" t="s">
        <v>14</v>
      </c>
      <c r="C44" s="783"/>
      <c r="D44" s="783"/>
      <c r="E44" s="784">
        <f t="shared" ref="E44:P44" si="17">E45+E46+E47+E48+E49+E50</f>
        <v>0</v>
      </c>
      <c r="F44" s="785">
        <f t="shared" si="17"/>
        <v>0</v>
      </c>
      <c r="G44" s="785">
        <f t="shared" si="17"/>
        <v>0</v>
      </c>
      <c r="H44" s="785">
        <f t="shared" si="17"/>
        <v>0</v>
      </c>
      <c r="I44" s="785">
        <f t="shared" si="17"/>
        <v>0</v>
      </c>
      <c r="J44" s="785">
        <f t="shared" si="17"/>
        <v>0</v>
      </c>
      <c r="K44" s="785">
        <f t="shared" si="17"/>
        <v>0</v>
      </c>
      <c r="L44" s="785">
        <f t="shared" si="17"/>
        <v>0</v>
      </c>
      <c r="M44" s="785">
        <f t="shared" si="17"/>
        <v>0</v>
      </c>
      <c r="N44" s="785">
        <f t="shared" si="17"/>
        <v>0</v>
      </c>
      <c r="O44" s="785">
        <f t="shared" si="17"/>
        <v>0</v>
      </c>
      <c r="P44" s="786">
        <f t="shared" si="17"/>
        <v>0</v>
      </c>
      <c r="Q44" s="782">
        <f t="shared" si="4"/>
        <v>0</v>
      </c>
    </row>
    <row r="45" spans="1:17" ht="26.25" customHeight="1" x14ac:dyDescent="0.2">
      <c r="A45" s="883"/>
      <c r="B45" s="787" t="s">
        <v>22</v>
      </c>
      <c r="C45" s="787"/>
      <c r="D45" s="787"/>
      <c r="E45" s="768"/>
      <c r="F45" s="769"/>
      <c r="G45" s="769"/>
      <c r="H45" s="769"/>
      <c r="I45" s="769"/>
      <c r="J45" s="769"/>
      <c r="K45" s="769"/>
      <c r="L45" s="769"/>
      <c r="M45" s="769"/>
      <c r="N45" s="769"/>
      <c r="O45" s="769"/>
      <c r="P45" s="788"/>
      <c r="Q45" s="770">
        <f t="shared" si="4"/>
        <v>0</v>
      </c>
    </row>
    <row r="46" spans="1:17" ht="26.25" customHeight="1" x14ac:dyDescent="0.2">
      <c r="A46" s="883"/>
      <c r="B46" s="787" t="s">
        <v>23</v>
      </c>
      <c r="C46" s="787"/>
      <c r="D46" s="787"/>
      <c r="E46" s="768"/>
      <c r="F46" s="769"/>
      <c r="G46" s="769"/>
      <c r="H46" s="769"/>
      <c r="I46" s="769"/>
      <c r="J46" s="769"/>
      <c r="K46" s="769"/>
      <c r="L46" s="769"/>
      <c r="M46" s="769"/>
      <c r="N46" s="769"/>
      <c r="O46" s="769"/>
      <c r="P46" s="788"/>
      <c r="Q46" s="770">
        <f t="shared" si="4"/>
        <v>0</v>
      </c>
    </row>
    <row r="47" spans="1:17" ht="26.25" customHeight="1" x14ac:dyDescent="0.2">
      <c r="A47" s="883"/>
      <c r="B47" s="787" t="s">
        <v>24</v>
      </c>
      <c r="C47" s="787"/>
      <c r="D47" s="787"/>
      <c r="E47" s="768"/>
      <c r="F47" s="769"/>
      <c r="G47" s="769"/>
      <c r="H47" s="769"/>
      <c r="I47" s="769"/>
      <c r="J47" s="769"/>
      <c r="K47" s="769"/>
      <c r="L47" s="769"/>
      <c r="M47" s="769"/>
      <c r="N47" s="769"/>
      <c r="O47" s="769"/>
      <c r="P47" s="788"/>
      <c r="Q47" s="770">
        <f t="shared" si="4"/>
        <v>0</v>
      </c>
    </row>
    <row r="48" spans="1:17" ht="26.25" customHeight="1" x14ac:dyDescent="0.2">
      <c r="A48" s="883"/>
      <c r="B48" s="787" t="s">
        <v>25</v>
      </c>
      <c r="C48" s="787"/>
      <c r="D48" s="787"/>
      <c r="E48" s="768"/>
      <c r="F48" s="769"/>
      <c r="G48" s="769"/>
      <c r="H48" s="769"/>
      <c r="I48" s="769"/>
      <c r="J48" s="769"/>
      <c r="K48" s="769"/>
      <c r="L48" s="769"/>
      <c r="M48" s="769"/>
      <c r="N48" s="769"/>
      <c r="O48" s="769"/>
      <c r="P48" s="788"/>
      <c r="Q48" s="770">
        <f t="shared" si="4"/>
        <v>0</v>
      </c>
    </row>
    <row r="49" spans="1:17" ht="26.25" customHeight="1" x14ac:dyDescent="0.2">
      <c r="A49" s="883"/>
      <c r="B49" s="787" t="s">
        <v>30</v>
      </c>
      <c r="C49" s="787"/>
      <c r="D49" s="787"/>
      <c r="E49" s="768"/>
      <c r="F49" s="769"/>
      <c r="G49" s="769"/>
      <c r="H49" s="769"/>
      <c r="I49" s="769"/>
      <c r="J49" s="769"/>
      <c r="K49" s="769"/>
      <c r="L49" s="769"/>
      <c r="M49" s="769"/>
      <c r="N49" s="769"/>
      <c r="O49" s="769"/>
      <c r="P49" s="788"/>
      <c r="Q49" s="770">
        <f t="shared" si="4"/>
        <v>0</v>
      </c>
    </row>
    <row r="50" spans="1:17" ht="26.25" customHeight="1" x14ac:dyDescent="0.2">
      <c r="A50" s="883"/>
      <c r="B50" s="787" t="s">
        <v>26</v>
      </c>
      <c r="C50" s="787"/>
      <c r="D50" s="787"/>
      <c r="E50" s="768"/>
      <c r="F50" s="769"/>
      <c r="G50" s="769"/>
      <c r="H50" s="769"/>
      <c r="I50" s="769"/>
      <c r="J50" s="769"/>
      <c r="K50" s="769"/>
      <c r="L50" s="769"/>
      <c r="M50" s="769"/>
      <c r="N50" s="769"/>
      <c r="O50" s="769"/>
      <c r="P50" s="788"/>
      <c r="Q50" s="770">
        <f t="shared" si="4"/>
        <v>0</v>
      </c>
    </row>
    <row r="51" spans="1:17" ht="26.25" customHeight="1" x14ac:dyDescent="0.2">
      <c r="A51" s="883"/>
      <c r="B51" s="787" t="s">
        <v>27</v>
      </c>
      <c r="C51" s="787"/>
      <c r="D51" s="787"/>
      <c r="E51" s="768"/>
      <c r="F51" s="769"/>
      <c r="G51" s="769"/>
      <c r="H51" s="769"/>
      <c r="I51" s="769"/>
      <c r="J51" s="769"/>
      <c r="K51" s="769"/>
      <c r="L51" s="769"/>
      <c r="M51" s="769"/>
      <c r="N51" s="769"/>
      <c r="O51" s="769"/>
      <c r="P51" s="788"/>
      <c r="Q51" s="770">
        <f t="shared" si="4"/>
        <v>0</v>
      </c>
    </row>
    <row r="52" spans="1:17" ht="26.25" customHeight="1" x14ac:dyDescent="0.2">
      <c r="A52" s="883"/>
      <c r="B52" s="787" t="s">
        <v>28</v>
      </c>
      <c r="C52" s="787"/>
      <c r="D52" s="787"/>
      <c r="E52" s="768"/>
      <c r="F52" s="769"/>
      <c r="G52" s="769"/>
      <c r="H52" s="769"/>
      <c r="I52" s="769"/>
      <c r="J52" s="769"/>
      <c r="K52" s="769"/>
      <c r="L52" s="769"/>
      <c r="M52" s="769"/>
      <c r="N52" s="769"/>
      <c r="O52" s="769"/>
      <c r="P52" s="788"/>
      <c r="Q52" s="770">
        <f t="shared" si="4"/>
        <v>0</v>
      </c>
    </row>
    <row r="53" spans="1:17" ht="26.25" customHeight="1" x14ac:dyDescent="0.2">
      <c r="A53" s="883"/>
      <c r="B53" s="787" t="s">
        <v>15</v>
      </c>
      <c r="C53" s="787"/>
      <c r="D53" s="787"/>
      <c r="E53" s="768"/>
      <c r="F53" s="769"/>
      <c r="G53" s="769"/>
      <c r="H53" s="769"/>
      <c r="I53" s="769"/>
      <c r="J53" s="769"/>
      <c r="K53" s="769"/>
      <c r="L53" s="769"/>
      <c r="M53" s="769"/>
      <c r="N53" s="769"/>
      <c r="O53" s="769"/>
      <c r="P53" s="788"/>
      <c r="Q53" s="770">
        <f t="shared" si="4"/>
        <v>0</v>
      </c>
    </row>
    <row r="54" spans="1:17" ht="26.25" customHeight="1" x14ac:dyDescent="0.2">
      <c r="A54" s="883"/>
      <c r="B54" s="787" t="s">
        <v>16</v>
      </c>
      <c r="C54" s="787"/>
      <c r="D54" s="787"/>
      <c r="E54" s="768"/>
      <c r="F54" s="769"/>
      <c r="G54" s="769"/>
      <c r="H54" s="769"/>
      <c r="I54" s="769"/>
      <c r="J54" s="769"/>
      <c r="K54" s="769"/>
      <c r="L54" s="769"/>
      <c r="M54" s="769"/>
      <c r="N54" s="769"/>
      <c r="O54" s="769"/>
      <c r="P54" s="788"/>
      <c r="Q54" s="770">
        <f t="shared" si="4"/>
        <v>0</v>
      </c>
    </row>
    <row r="55" spans="1:17" ht="26.25" customHeight="1" x14ac:dyDescent="0.2">
      <c r="A55" s="883"/>
      <c r="B55" s="787" t="s">
        <v>17</v>
      </c>
      <c r="C55" s="787"/>
      <c r="D55" s="787"/>
      <c r="E55" s="768"/>
      <c r="F55" s="769"/>
      <c r="G55" s="769"/>
      <c r="H55" s="769"/>
      <c r="I55" s="769"/>
      <c r="J55" s="769"/>
      <c r="K55" s="769"/>
      <c r="L55" s="769"/>
      <c r="M55" s="769"/>
      <c r="N55" s="769"/>
      <c r="O55" s="769"/>
      <c r="P55" s="788"/>
      <c r="Q55" s="770">
        <f t="shared" si="4"/>
        <v>0</v>
      </c>
    </row>
    <row r="56" spans="1:17" ht="26.25" customHeight="1" x14ac:dyDescent="0.2">
      <c r="A56" s="883"/>
      <c r="B56" s="787" t="s">
        <v>0</v>
      </c>
      <c r="C56" s="787"/>
      <c r="D56" s="787"/>
      <c r="E56" s="768"/>
      <c r="F56" s="769"/>
      <c r="G56" s="769"/>
      <c r="H56" s="769"/>
      <c r="I56" s="769"/>
      <c r="J56" s="769"/>
      <c r="K56" s="769"/>
      <c r="L56" s="769"/>
      <c r="M56" s="769"/>
      <c r="N56" s="769"/>
      <c r="O56" s="769"/>
      <c r="P56" s="788"/>
      <c r="Q56" s="770">
        <f t="shared" si="4"/>
        <v>0</v>
      </c>
    </row>
    <row r="57" spans="1:17" ht="26.25" customHeight="1" x14ac:dyDescent="0.2">
      <c r="A57" s="883"/>
      <c r="B57" s="787" t="s">
        <v>29</v>
      </c>
      <c r="C57" s="787"/>
      <c r="D57" s="787"/>
      <c r="E57" s="768">
        <f>SUM(E58:E62)</f>
        <v>0</v>
      </c>
      <c r="F57" s="769">
        <f t="shared" ref="F57:P57" si="18">SUM(F58:F62)</f>
        <v>0</v>
      </c>
      <c r="G57" s="769">
        <f t="shared" si="18"/>
        <v>0</v>
      </c>
      <c r="H57" s="769">
        <f t="shared" si="18"/>
        <v>0</v>
      </c>
      <c r="I57" s="769">
        <f t="shared" si="18"/>
        <v>0</v>
      </c>
      <c r="J57" s="769">
        <f t="shared" si="18"/>
        <v>0</v>
      </c>
      <c r="K57" s="769">
        <f t="shared" si="18"/>
        <v>0</v>
      </c>
      <c r="L57" s="769">
        <f t="shared" si="18"/>
        <v>0</v>
      </c>
      <c r="M57" s="769">
        <f t="shared" si="18"/>
        <v>0</v>
      </c>
      <c r="N57" s="769">
        <f t="shared" si="18"/>
        <v>0</v>
      </c>
      <c r="O57" s="769">
        <f t="shared" si="18"/>
        <v>0</v>
      </c>
      <c r="P57" s="788">
        <f t="shared" si="18"/>
        <v>0</v>
      </c>
      <c r="Q57" s="770">
        <f t="shared" si="4"/>
        <v>0</v>
      </c>
    </row>
    <row r="58" spans="1:17" ht="26.25" customHeight="1" x14ac:dyDescent="0.2">
      <c r="A58" s="883"/>
      <c r="B58" s="766"/>
      <c r="C58" s="767" t="s">
        <v>367</v>
      </c>
      <c r="D58" s="789"/>
      <c r="E58" s="768"/>
      <c r="F58" s="769"/>
      <c r="G58" s="769"/>
      <c r="H58" s="769"/>
      <c r="I58" s="769"/>
      <c r="J58" s="769"/>
      <c r="K58" s="769"/>
      <c r="L58" s="769"/>
      <c r="M58" s="769"/>
      <c r="N58" s="769"/>
      <c r="O58" s="769"/>
      <c r="P58" s="788"/>
      <c r="Q58" s="770">
        <f t="shared" ref="Q58" si="19">SUM(E58:P58)</f>
        <v>0</v>
      </c>
    </row>
    <row r="59" spans="1:17" ht="26.25" customHeight="1" x14ac:dyDescent="0.2">
      <c r="A59" s="883"/>
      <c r="B59" s="766"/>
      <c r="C59" s="767" t="s">
        <v>270</v>
      </c>
      <c r="D59" s="789"/>
      <c r="E59" s="768"/>
      <c r="F59" s="769"/>
      <c r="G59" s="769"/>
      <c r="H59" s="769"/>
      <c r="I59" s="769"/>
      <c r="J59" s="769"/>
      <c r="K59" s="769"/>
      <c r="L59" s="769"/>
      <c r="M59" s="769"/>
      <c r="N59" s="769"/>
      <c r="O59" s="769"/>
      <c r="P59" s="788"/>
      <c r="Q59" s="770">
        <f t="shared" si="4"/>
        <v>0</v>
      </c>
    </row>
    <row r="60" spans="1:17" ht="26.25" customHeight="1" x14ac:dyDescent="0.2">
      <c r="A60" s="883"/>
      <c r="B60" s="766"/>
      <c r="C60" s="767" t="s">
        <v>330</v>
      </c>
      <c r="D60" s="789"/>
      <c r="E60" s="768"/>
      <c r="F60" s="769"/>
      <c r="G60" s="769"/>
      <c r="H60" s="769"/>
      <c r="I60" s="769"/>
      <c r="J60" s="769"/>
      <c r="K60" s="769"/>
      <c r="L60" s="769"/>
      <c r="M60" s="769"/>
      <c r="N60" s="769"/>
      <c r="O60" s="769"/>
      <c r="P60" s="788"/>
      <c r="Q60" s="770">
        <f t="shared" si="4"/>
        <v>0</v>
      </c>
    </row>
    <row r="61" spans="1:17" ht="26.25" customHeight="1" x14ac:dyDescent="0.2">
      <c r="A61" s="883"/>
      <c r="B61" s="766"/>
      <c r="C61" s="767" t="s">
        <v>331</v>
      </c>
      <c r="D61" s="789"/>
      <c r="E61" s="768"/>
      <c r="F61" s="769"/>
      <c r="G61" s="769"/>
      <c r="H61" s="769"/>
      <c r="I61" s="769"/>
      <c r="J61" s="769"/>
      <c r="K61" s="769"/>
      <c r="L61" s="769"/>
      <c r="M61" s="769"/>
      <c r="N61" s="769"/>
      <c r="O61" s="769"/>
      <c r="P61" s="788"/>
      <c r="Q61" s="770">
        <f t="shared" si="4"/>
        <v>0</v>
      </c>
    </row>
    <row r="62" spans="1:17" ht="26.25" customHeight="1" x14ac:dyDescent="0.2">
      <c r="A62" s="883"/>
      <c r="B62" s="766"/>
      <c r="C62" s="767" t="s">
        <v>273</v>
      </c>
      <c r="D62" s="789"/>
      <c r="E62" s="768"/>
      <c r="F62" s="769"/>
      <c r="G62" s="769"/>
      <c r="H62" s="769"/>
      <c r="I62" s="769"/>
      <c r="J62" s="769"/>
      <c r="K62" s="769"/>
      <c r="L62" s="769"/>
      <c r="M62" s="769"/>
      <c r="N62" s="769"/>
      <c r="O62" s="769"/>
      <c r="P62" s="788"/>
      <c r="Q62" s="770">
        <f t="shared" si="4"/>
        <v>0</v>
      </c>
    </row>
    <row r="63" spans="1:17" ht="26.25" customHeight="1" x14ac:dyDescent="0.2">
      <c r="A63" s="883"/>
      <c r="B63" s="787" t="s">
        <v>18</v>
      </c>
      <c r="C63" s="787"/>
      <c r="D63" s="787"/>
      <c r="E63" s="768">
        <f t="shared" ref="E63:P63" si="20">E64+E65+E66+E67</f>
        <v>0</v>
      </c>
      <c r="F63" s="769">
        <f t="shared" si="20"/>
        <v>0</v>
      </c>
      <c r="G63" s="769">
        <f t="shared" si="20"/>
        <v>0</v>
      </c>
      <c r="H63" s="769">
        <f t="shared" si="20"/>
        <v>0</v>
      </c>
      <c r="I63" s="769">
        <f t="shared" si="20"/>
        <v>0</v>
      </c>
      <c r="J63" s="769">
        <f t="shared" si="20"/>
        <v>0</v>
      </c>
      <c r="K63" s="769">
        <f t="shared" si="20"/>
        <v>0</v>
      </c>
      <c r="L63" s="769">
        <f t="shared" si="20"/>
        <v>0</v>
      </c>
      <c r="M63" s="769">
        <f t="shared" si="20"/>
        <v>0</v>
      </c>
      <c r="N63" s="769">
        <f t="shared" si="20"/>
        <v>0</v>
      </c>
      <c r="O63" s="769">
        <f t="shared" si="20"/>
        <v>0</v>
      </c>
      <c r="P63" s="788">
        <f t="shared" si="20"/>
        <v>0</v>
      </c>
      <c r="Q63" s="770">
        <f t="shared" si="4"/>
        <v>0</v>
      </c>
    </row>
    <row r="64" spans="1:17" ht="26.25" customHeight="1" x14ac:dyDescent="0.2">
      <c r="A64" s="883"/>
      <c r="B64" s="766"/>
      <c r="C64" s="789" t="s">
        <v>63</v>
      </c>
      <c r="D64" s="787"/>
      <c r="E64" s="768"/>
      <c r="F64" s="769"/>
      <c r="G64" s="769"/>
      <c r="H64" s="769"/>
      <c r="I64" s="769"/>
      <c r="J64" s="769"/>
      <c r="K64" s="769"/>
      <c r="L64" s="769"/>
      <c r="M64" s="769"/>
      <c r="N64" s="769"/>
      <c r="O64" s="769"/>
      <c r="P64" s="788"/>
      <c r="Q64" s="770">
        <f t="shared" si="4"/>
        <v>0</v>
      </c>
    </row>
    <row r="65" spans="1:17" ht="26.25" customHeight="1" x14ac:dyDescent="0.2">
      <c r="A65" s="883"/>
      <c r="B65" s="766"/>
      <c r="C65" s="789" t="s">
        <v>64</v>
      </c>
      <c r="D65" s="787"/>
      <c r="E65" s="768"/>
      <c r="F65" s="769"/>
      <c r="G65" s="769"/>
      <c r="H65" s="769"/>
      <c r="I65" s="769"/>
      <c r="J65" s="769"/>
      <c r="K65" s="769"/>
      <c r="L65" s="769"/>
      <c r="M65" s="769"/>
      <c r="N65" s="769"/>
      <c r="O65" s="769"/>
      <c r="P65" s="788"/>
      <c r="Q65" s="770">
        <f t="shared" si="4"/>
        <v>0</v>
      </c>
    </row>
    <row r="66" spans="1:17" ht="26.25" customHeight="1" x14ac:dyDescent="0.2">
      <c r="A66" s="883"/>
      <c r="B66" s="766"/>
      <c r="C66" s="789" t="s">
        <v>66</v>
      </c>
      <c r="D66" s="787"/>
      <c r="E66" s="768"/>
      <c r="F66" s="769"/>
      <c r="G66" s="769"/>
      <c r="H66" s="769"/>
      <c r="I66" s="769"/>
      <c r="J66" s="769"/>
      <c r="K66" s="769"/>
      <c r="L66" s="769"/>
      <c r="M66" s="769"/>
      <c r="N66" s="769"/>
      <c r="O66" s="769"/>
      <c r="P66" s="788"/>
      <c r="Q66" s="770">
        <f t="shared" si="4"/>
        <v>0</v>
      </c>
    </row>
    <row r="67" spans="1:17" ht="26.25" customHeight="1" x14ac:dyDescent="0.2">
      <c r="A67" s="883"/>
      <c r="B67" s="790"/>
      <c r="C67" s="791" t="s">
        <v>69</v>
      </c>
      <c r="D67" s="792"/>
      <c r="E67" s="793"/>
      <c r="F67" s="771"/>
      <c r="G67" s="771"/>
      <c r="H67" s="771"/>
      <c r="I67" s="771"/>
      <c r="J67" s="771"/>
      <c r="K67" s="771"/>
      <c r="L67" s="771"/>
      <c r="M67" s="771"/>
      <c r="N67" s="771"/>
      <c r="O67" s="771"/>
      <c r="P67" s="772"/>
      <c r="Q67" s="770">
        <f t="shared" si="4"/>
        <v>0</v>
      </c>
    </row>
    <row r="68" spans="1:17" ht="26.25" customHeight="1" x14ac:dyDescent="0.2">
      <c r="A68" s="883"/>
      <c r="B68" s="766" t="s">
        <v>19</v>
      </c>
      <c r="C68" s="767"/>
      <c r="D68" s="767"/>
      <c r="E68" s="768">
        <f>E69+E70+E71</f>
        <v>0</v>
      </c>
      <c r="F68" s="769">
        <f>F69+F70+F71</f>
        <v>0</v>
      </c>
      <c r="G68" s="769">
        <f t="shared" ref="G68" si="21">G69+G70+G71</f>
        <v>0</v>
      </c>
      <c r="H68" s="769">
        <f t="shared" ref="H68" si="22">H69+H70+H71</f>
        <v>0</v>
      </c>
      <c r="I68" s="769">
        <f t="shared" ref="I68" si="23">I69+I70+I71</f>
        <v>0</v>
      </c>
      <c r="J68" s="769">
        <f t="shared" ref="J68" si="24">J69+J70+J71</f>
        <v>0</v>
      </c>
      <c r="K68" s="769">
        <f t="shared" ref="K68" si="25">K69+K70+K71</f>
        <v>0</v>
      </c>
      <c r="L68" s="769">
        <f t="shared" ref="L68" si="26">L69+L70+L71</f>
        <v>0</v>
      </c>
      <c r="M68" s="769">
        <f t="shared" ref="M68" si="27">M69+M70+M71</f>
        <v>0</v>
      </c>
      <c r="N68" s="769">
        <f t="shared" ref="N68" si="28">N69+N70+N71</f>
        <v>0</v>
      </c>
      <c r="O68" s="769">
        <f t="shared" ref="O68" si="29">O69+O70+O71</f>
        <v>0</v>
      </c>
      <c r="P68" s="769">
        <f t="shared" ref="P68" si="30">P69+P70+P71</f>
        <v>0</v>
      </c>
      <c r="Q68" s="770">
        <f t="shared" si="4"/>
        <v>0</v>
      </c>
    </row>
    <row r="69" spans="1:17" ht="26.25" customHeight="1" x14ac:dyDescent="0.2">
      <c r="A69" s="883"/>
      <c r="B69" s="766"/>
      <c r="C69" s="767" t="s">
        <v>65</v>
      </c>
      <c r="D69" s="767"/>
      <c r="E69" s="793"/>
      <c r="F69" s="771"/>
      <c r="G69" s="771"/>
      <c r="H69" s="771"/>
      <c r="I69" s="771"/>
      <c r="J69" s="771"/>
      <c r="K69" s="771"/>
      <c r="L69" s="771"/>
      <c r="M69" s="771"/>
      <c r="N69" s="771"/>
      <c r="O69" s="771"/>
      <c r="P69" s="772"/>
      <c r="Q69" s="770">
        <f t="shared" si="4"/>
        <v>0</v>
      </c>
    </row>
    <row r="70" spans="1:17" ht="26.25" customHeight="1" x14ac:dyDescent="0.2">
      <c r="A70" s="883"/>
      <c r="B70" s="766"/>
      <c r="C70" s="767" t="s">
        <v>67</v>
      </c>
      <c r="D70" s="767"/>
      <c r="E70" s="793"/>
      <c r="F70" s="771"/>
      <c r="G70" s="771"/>
      <c r="H70" s="771"/>
      <c r="I70" s="771"/>
      <c r="J70" s="771"/>
      <c r="K70" s="771"/>
      <c r="L70" s="771"/>
      <c r="M70" s="771"/>
      <c r="N70" s="771"/>
      <c r="O70" s="771"/>
      <c r="P70" s="772"/>
      <c r="Q70" s="770">
        <f t="shared" si="4"/>
        <v>0</v>
      </c>
    </row>
    <row r="71" spans="1:17" ht="26.25" customHeight="1" x14ac:dyDescent="0.2">
      <c r="A71" s="883"/>
      <c r="B71" s="773"/>
      <c r="C71" s="774" t="s">
        <v>70</v>
      </c>
      <c r="D71" s="774"/>
      <c r="E71" s="793"/>
      <c r="F71" s="771"/>
      <c r="G71" s="771"/>
      <c r="H71" s="771"/>
      <c r="I71" s="771"/>
      <c r="J71" s="771"/>
      <c r="K71" s="771"/>
      <c r="L71" s="771"/>
      <c r="M71" s="771"/>
      <c r="N71" s="771"/>
      <c r="O71" s="771"/>
      <c r="P71" s="771"/>
      <c r="Q71" s="770">
        <f t="shared" si="4"/>
        <v>0</v>
      </c>
    </row>
    <row r="72" spans="1:17" ht="26.25" customHeight="1" x14ac:dyDescent="0.2">
      <c r="A72" s="883"/>
      <c r="B72" s="15" t="s">
        <v>141</v>
      </c>
      <c r="C72" s="15"/>
      <c r="D72" s="15"/>
      <c r="E72" s="331">
        <f>E44+E51+E52+E53+E54+E55+E56+E57+E63+E68</f>
        <v>0</v>
      </c>
      <c r="F72" s="332">
        <f>F44+F51+F52+F53+F54+F55+F56+F57+F63+F68</f>
        <v>0</v>
      </c>
      <c r="G72" s="332">
        <f t="shared" ref="G72:P72" si="31">G44+G51+G52+G53+G54+G55+G56+G57+G63+G68</f>
        <v>0</v>
      </c>
      <c r="H72" s="332">
        <f t="shared" si="31"/>
        <v>0</v>
      </c>
      <c r="I72" s="332">
        <f t="shared" si="31"/>
        <v>0</v>
      </c>
      <c r="J72" s="332">
        <f t="shared" si="31"/>
        <v>0</v>
      </c>
      <c r="K72" s="332">
        <f t="shared" si="31"/>
        <v>0</v>
      </c>
      <c r="L72" s="332">
        <f t="shared" si="31"/>
        <v>0</v>
      </c>
      <c r="M72" s="332">
        <f t="shared" si="31"/>
        <v>0</v>
      </c>
      <c r="N72" s="332">
        <f t="shared" si="31"/>
        <v>0</v>
      </c>
      <c r="O72" s="332">
        <f t="shared" si="31"/>
        <v>0</v>
      </c>
      <c r="P72" s="332">
        <f t="shared" si="31"/>
        <v>0</v>
      </c>
      <c r="Q72" s="330">
        <f t="shared" si="4"/>
        <v>0</v>
      </c>
    </row>
    <row r="73" spans="1:17" ht="26.25" customHeight="1" x14ac:dyDescent="0.2">
      <c r="A73" s="963" t="s">
        <v>99</v>
      </c>
      <c r="B73" s="964"/>
      <c r="C73" s="964"/>
      <c r="D73" s="965"/>
      <c r="E73" s="331">
        <f>E43-E72</f>
        <v>0</v>
      </c>
      <c r="F73" s="332">
        <f t="shared" ref="F73:Q73" si="32">F43-F72</f>
        <v>0</v>
      </c>
      <c r="G73" s="332">
        <f t="shared" si="32"/>
        <v>0</v>
      </c>
      <c r="H73" s="332">
        <f t="shared" si="32"/>
        <v>0</v>
      </c>
      <c r="I73" s="332">
        <f t="shared" si="32"/>
        <v>0</v>
      </c>
      <c r="J73" s="332">
        <f t="shared" si="32"/>
        <v>0</v>
      </c>
      <c r="K73" s="332">
        <f t="shared" si="32"/>
        <v>0</v>
      </c>
      <c r="L73" s="332">
        <f t="shared" si="32"/>
        <v>0</v>
      </c>
      <c r="M73" s="332">
        <f t="shared" si="32"/>
        <v>0</v>
      </c>
      <c r="N73" s="332">
        <f t="shared" si="32"/>
        <v>0</v>
      </c>
      <c r="O73" s="332">
        <f t="shared" si="32"/>
        <v>0</v>
      </c>
      <c r="P73" s="333">
        <f t="shared" si="32"/>
        <v>0</v>
      </c>
      <c r="Q73" s="333">
        <f t="shared" si="32"/>
        <v>0</v>
      </c>
    </row>
    <row r="74" spans="1:17" ht="26.25" customHeight="1" x14ac:dyDescent="0.2">
      <c r="A74" s="963" t="s">
        <v>100</v>
      </c>
      <c r="B74" s="964"/>
      <c r="C74" s="964"/>
      <c r="D74" s="965"/>
      <c r="E74" s="331">
        <f t="shared" ref="E74:P74" si="33">E4+E73</f>
        <v>0</v>
      </c>
      <c r="F74" s="332">
        <f t="shared" si="33"/>
        <v>0</v>
      </c>
      <c r="G74" s="332">
        <f t="shared" si="33"/>
        <v>0</v>
      </c>
      <c r="H74" s="332">
        <f t="shared" si="33"/>
        <v>0</v>
      </c>
      <c r="I74" s="332">
        <f t="shared" si="33"/>
        <v>0</v>
      </c>
      <c r="J74" s="332">
        <f t="shared" si="33"/>
        <v>0</v>
      </c>
      <c r="K74" s="332">
        <f t="shared" si="33"/>
        <v>0</v>
      </c>
      <c r="L74" s="332">
        <f t="shared" si="33"/>
        <v>0</v>
      </c>
      <c r="M74" s="332">
        <f t="shared" si="33"/>
        <v>0</v>
      </c>
      <c r="N74" s="332">
        <f t="shared" si="33"/>
        <v>0</v>
      </c>
      <c r="O74" s="332">
        <f t="shared" si="33"/>
        <v>0</v>
      </c>
      <c r="P74" s="333">
        <f t="shared" si="33"/>
        <v>0</v>
      </c>
      <c r="Q74" s="333">
        <f>Q4+Q73</f>
        <v>0</v>
      </c>
    </row>
    <row r="75" spans="1:17" ht="24.75" customHeight="1" x14ac:dyDescent="0.2"/>
  </sheetData>
  <mergeCells count="9">
    <mergeCell ref="A44:A72"/>
    <mergeCell ref="A73:D73"/>
    <mergeCell ref="A74:D74"/>
    <mergeCell ref="P1:Q1"/>
    <mergeCell ref="P2:Q2"/>
    <mergeCell ref="A3:D3"/>
    <mergeCell ref="A4:D4"/>
    <mergeCell ref="A5:A43"/>
    <mergeCell ref="C17:D17"/>
  </mergeCells>
  <phoneticPr fontId="2"/>
  <pageMargins left="0.67" right="0.46" top="0.71" bottom="0.39" header="0.3" footer="0.25"/>
  <pageSetup paperSize="9" scale="39" orientation="portrait" r:id="rId1"/>
  <headerFooter alignWithMargins="0">
    <oddHeader xml:space="preserve">&amp;R
</oddHeader>
    <oddFooter>&amp;C&amp;P</oddFooter>
  </headerFooter>
  <rowBreaks count="1" manualBreakCount="1">
    <brk id="7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S48"/>
  <sheetViews>
    <sheetView zoomScale="85" zoomScaleNormal="85" zoomScaleSheetLayoutView="85" workbookViewId="0">
      <pane xSplit="8" ySplit="4" topLeftCell="I5" activePane="bottomRight" state="frozen"/>
      <selection activeCell="H18" sqref="H18"/>
      <selection pane="topRight" activeCell="H18" sqref="H18"/>
      <selection pane="bottomLeft" activeCell="H18" sqref="H18"/>
      <selection pane="bottomRight"/>
    </sheetView>
  </sheetViews>
  <sheetFormatPr defaultColWidth="5.21875" defaultRowHeight="13.2" x14ac:dyDescent="0.2"/>
  <cols>
    <col min="1" max="1" width="1.44140625" style="139" customWidth="1"/>
    <col min="2" max="3" width="4.21875" style="215" customWidth="1"/>
    <col min="4" max="5" width="1.6640625" style="215" customWidth="1"/>
    <col min="6" max="6" width="4.33203125" style="215" customWidth="1"/>
    <col min="7" max="7" width="1.6640625" style="215" customWidth="1"/>
    <col min="8" max="8" width="35.77734375" style="215" customWidth="1"/>
    <col min="9" max="16" width="11.88671875" style="138" customWidth="1"/>
    <col min="17" max="17" width="11.88671875" style="215" customWidth="1"/>
    <col min="18" max="16384" width="5.21875" style="215"/>
  </cols>
  <sheetData>
    <row r="1" spans="1:18" ht="76.5" customHeight="1" x14ac:dyDescent="0.2">
      <c r="A1" s="17" t="s">
        <v>383</v>
      </c>
      <c r="B1" s="260"/>
      <c r="C1" s="260"/>
      <c r="D1" s="260"/>
      <c r="E1" s="260"/>
      <c r="F1" s="260"/>
      <c r="G1" s="260"/>
      <c r="H1" s="260"/>
      <c r="I1" s="17" t="str">
        <f>CONCATENATE("（","法人番号：",入力!B2,"　　","法人名：",入力!B5,"）")</f>
        <v>（法人番号：131999　　法人名：東西大学）</v>
      </c>
      <c r="J1" s="126"/>
      <c r="K1" s="126"/>
      <c r="L1" s="126"/>
      <c r="M1" s="126"/>
      <c r="N1" s="126"/>
      <c r="O1" s="126"/>
      <c r="P1" s="879" t="s">
        <v>384</v>
      </c>
      <c r="Q1" s="974"/>
      <c r="R1" s="344"/>
    </row>
    <row r="2" spans="1:18" ht="24.75" customHeight="1" x14ac:dyDescent="0.2">
      <c r="A2" s="17"/>
      <c r="B2" s="260"/>
      <c r="C2" s="260"/>
      <c r="D2" s="260"/>
      <c r="E2" s="260"/>
      <c r="F2" s="260"/>
      <c r="G2" s="260"/>
      <c r="H2" s="260"/>
      <c r="I2" s="17"/>
      <c r="J2" s="126"/>
      <c r="K2" s="126"/>
      <c r="L2" s="126"/>
      <c r="M2" s="126"/>
      <c r="N2" s="126"/>
      <c r="O2" s="126"/>
      <c r="P2" s="265"/>
      <c r="Q2" s="266" t="str">
        <f>様式1!K2</f>
        <v>新規</v>
      </c>
      <c r="R2" s="344"/>
    </row>
    <row r="3" spans="1:18" ht="25.5" customHeight="1" thickBot="1" x14ac:dyDescent="0.25">
      <c r="A3" s="17"/>
      <c r="B3" s="975"/>
      <c r="C3" s="976"/>
      <c r="D3" s="976"/>
      <c r="E3" s="976"/>
      <c r="F3" s="976"/>
      <c r="G3" s="976"/>
      <c r="H3" s="976"/>
      <c r="I3" s="78"/>
      <c r="J3" s="126"/>
      <c r="K3" s="126"/>
      <c r="L3" s="126"/>
      <c r="M3" s="126"/>
      <c r="N3" s="126"/>
      <c r="O3" s="126"/>
      <c r="P3" s="142"/>
      <c r="Q3" s="260"/>
      <c r="R3" s="344"/>
    </row>
    <row r="4" spans="1:18" s="128" customFormat="1" ht="32.25" customHeight="1" thickTop="1" x14ac:dyDescent="0.2">
      <c r="A4" s="127"/>
      <c r="B4" s="242"/>
      <c r="C4" s="977" t="s">
        <v>332</v>
      </c>
      <c r="D4" s="977"/>
      <c r="E4" s="977"/>
      <c r="F4" s="977"/>
      <c r="G4" s="977"/>
      <c r="H4" s="978"/>
      <c r="I4" s="685" t="str">
        <f>VLOOKUP(入力!$I$14-3,和暦表示!$B$10:$D$35,3,FALSE)</f>
        <v>5年度実績</v>
      </c>
      <c r="J4" s="671" t="str">
        <f>VLOOKUP(入力!$I$14-2,和暦表示!$B$10:$D$35,3,FALSE)</f>
        <v>6年度実績</v>
      </c>
      <c r="K4" s="686" t="str">
        <f>VLOOKUP(入力!$I$14-1,和暦表示!$B$10:$D$35,3,FALSE)</f>
        <v>7年度実績</v>
      </c>
      <c r="L4" s="673" t="str">
        <f>VLOOKUP(入力!$I$14,和暦表示!$B$10:$D$35,3,FALSE)</f>
        <v>8年度見込</v>
      </c>
      <c r="M4" s="674" t="str">
        <f>VLOOKUP(入力!$I$14+1,和暦表示!$B$10:$D$35,3,FALSE)</f>
        <v>9年度見込</v>
      </c>
      <c r="N4" s="674" t="str">
        <f>VLOOKUP(入力!$I$14+2,和暦表示!$B$10:$D$35,3,FALSE)</f>
        <v>10年度見込</v>
      </c>
      <c r="O4" s="674" t="str">
        <f>VLOOKUP(入力!$I$14+3,和暦表示!$B$10:$D$35,3,FALSE)</f>
        <v>11年度見込</v>
      </c>
      <c r="P4" s="675" t="str">
        <f>VLOOKUP(入力!$I$14+4,和暦表示!$B$10:$D$35,3,FALSE)</f>
        <v>12年度見込</v>
      </c>
      <c r="Q4" s="684" t="str">
        <f>"当初最終年度
"&amp;VLOOKUP(入力!$I$8+4,和暦表示!$B$10:$D$35,3,FALSE)</f>
        <v>当初最終年度
12年度見込</v>
      </c>
    </row>
    <row r="5" spans="1:18" ht="26.25" customHeight="1" x14ac:dyDescent="0.2">
      <c r="A5" s="131"/>
      <c r="B5" s="979" t="s">
        <v>333</v>
      </c>
      <c r="C5" s="982" t="s">
        <v>334</v>
      </c>
      <c r="D5" s="133"/>
      <c r="E5" s="216"/>
      <c r="F5" s="983" t="s">
        <v>77</v>
      </c>
      <c r="G5" s="983"/>
      <c r="H5" s="983"/>
      <c r="I5" s="383"/>
      <c r="J5" s="384"/>
      <c r="K5" s="385"/>
      <c r="L5" s="446">
        <f>様式4!H4</f>
        <v>0</v>
      </c>
      <c r="M5" s="384">
        <f>様式4!I4</f>
        <v>0</v>
      </c>
      <c r="N5" s="384">
        <f>様式4!J4</f>
        <v>0</v>
      </c>
      <c r="O5" s="384">
        <f>様式4!K4</f>
        <v>0</v>
      </c>
      <c r="P5" s="447">
        <f>様式4!L4</f>
        <v>0</v>
      </c>
      <c r="Q5" s="387">
        <f>様式4!M4</f>
        <v>0</v>
      </c>
      <c r="R5" s="599"/>
    </row>
    <row r="6" spans="1:18" ht="26.25" customHeight="1" x14ac:dyDescent="0.2">
      <c r="A6" s="131"/>
      <c r="B6" s="980"/>
      <c r="C6" s="925"/>
      <c r="D6" s="132"/>
      <c r="E6" s="260"/>
      <c r="F6" s="984" t="s">
        <v>78</v>
      </c>
      <c r="G6" s="984"/>
      <c r="H6" s="984"/>
      <c r="I6" s="428"/>
      <c r="J6" s="429"/>
      <c r="K6" s="430"/>
      <c r="L6" s="374">
        <f>様式4!H7</f>
        <v>0</v>
      </c>
      <c r="M6" s="429">
        <f>様式4!I7</f>
        <v>0</v>
      </c>
      <c r="N6" s="429">
        <f>様式4!J7</f>
        <v>0</v>
      </c>
      <c r="O6" s="429">
        <f>様式4!K7</f>
        <v>0</v>
      </c>
      <c r="P6" s="448">
        <f>様式4!L7</f>
        <v>0</v>
      </c>
      <c r="Q6" s="449">
        <f>様式4!M7</f>
        <v>0</v>
      </c>
      <c r="R6" s="599"/>
    </row>
    <row r="7" spans="1:18" ht="26.25" customHeight="1" x14ac:dyDescent="0.2">
      <c r="A7" s="131"/>
      <c r="B7" s="980"/>
      <c r="C7" s="925"/>
      <c r="D7" s="132"/>
      <c r="E7" s="260"/>
      <c r="F7" s="984" t="s">
        <v>79</v>
      </c>
      <c r="G7" s="984"/>
      <c r="H7" s="984"/>
      <c r="I7" s="428"/>
      <c r="J7" s="429"/>
      <c r="K7" s="430"/>
      <c r="L7" s="429">
        <f>IF(入力!$I$14&lt;27,様式4!H8+様式8!L41,様式4!H8+様式8!L41-様式6!L63)</f>
        <v>0</v>
      </c>
      <c r="M7" s="429">
        <f>IF(入力!$I$14+1&lt;27,様式4!I8+様式8!M41,様式4!I8+様式8!M41-様式6!M63)</f>
        <v>0</v>
      </c>
      <c r="N7" s="429">
        <f>IF(入力!$I$14+2&lt;27,様式4!J8+様式8!N41,様式4!J8+様式8!N41-様式6!N63)</f>
        <v>0</v>
      </c>
      <c r="O7" s="429">
        <f>IF(入力!$I$14+3&lt;27,様式4!K8+様式8!O41,様式4!K8+様式8!O41-様式6!O63)</f>
        <v>0</v>
      </c>
      <c r="P7" s="448">
        <f>IF(入力!$I$14+4&lt;27,様式4!L8+様式8!P41,様式4!L8+様式8!P41-様式6!P63)</f>
        <v>0</v>
      </c>
      <c r="Q7" s="449">
        <f>様式4!M8+Q41-様式6!Q63</f>
        <v>0</v>
      </c>
      <c r="R7" s="599"/>
    </row>
    <row r="8" spans="1:18" ht="26.25" customHeight="1" x14ac:dyDescent="0.2">
      <c r="A8" s="131"/>
      <c r="B8" s="980"/>
      <c r="C8" s="925"/>
      <c r="D8" s="132"/>
      <c r="E8" s="260"/>
      <c r="F8" s="985" t="s">
        <v>406</v>
      </c>
      <c r="G8" s="984"/>
      <c r="H8" s="984"/>
      <c r="I8" s="428"/>
      <c r="J8" s="429"/>
      <c r="K8" s="430"/>
      <c r="L8" s="429">
        <f>IF(入力!$I$14&lt;27,0,様式4!H11-様式6!L64)</f>
        <v>0</v>
      </c>
      <c r="M8" s="429">
        <f>IF(入力!$I$14+1&lt;27,0,様式4!I11-様式6!M64)</f>
        <v>0</v>
      </c>
      <c r="N8" s="429">
        <f>IF(入力!$I$14+2&lt;27,0,様式4!J11-様式6!N64)</f>
        <v>0</v>
      </c>
      <c r="O8" s="429">
        <f>IF(入力!$I$14+3&lt;27,0,様式4!K11-様式6!O64)</f>
        <v>0</v>
      </c>
      <c r="P8" s="448">
        <f>IF(入力!$I$14+4&lt;27,0,様式4!L11-様式6!P64)</f>
        <v>0</v>
      </c>
      <c r="Q8" s="449">
        <f>様式4!M11-様式6!Q64</f>
        <v>0</v>
      </c>
      <c r="R8" s="599"/>
    </row>
    <row r="9" spans="1:18" ht="26.25" customHeight="1" x14ac:dyDescent="0.2">
      <c r="A9" s="131"/>
      <c r="B9" s="980"/>
      <c r="C9" s="925"/>
      <c r="D9" s="132"/>
      <c r="E9" s="260"/>
      <c r="F9" s="984" t="s">
        <v>335</v>
      </c>
      <c r="G9" s="984"/>
      <c r="H9" s="984"/>
      <c r="I9" s="428"/>
      <c r="J9" s="429"/>
      <c r="K9" s="430"/>
      <c r="L9" s="429">
        <f>IF(入力!$I$14&lt;27,0,様式4!H22-様式6!L65)</f>
        <v>0</v>
      </c>
      <c r="M9" s="429">
        <f>IF(入力!$I$14+1&lt;27,0,様式4!I22-様式6!M65)</f>
        <v>0</v>
      </c>
      <c r="N9" s="429">
        <f>IF(入力!$I$14+2&lt;27,0,様式4!J22-様式6!N65)</f>
        <v>0</v>
      </c>
      <c r="O9" s="429">
        <f>IF(入力!$I$14+3&lt;27,0,様式4!K22-様式6!O65)</f>
        <v>0</v>
      </c>
      <c r="P9" s="448">
        <f>IF(入力!$I$14+4&lt;27,0,様式4!L22-様式6!P65)</f>
        <v>0</v>
      </c>
      <c r="Q9" s="449">
        <f>様式4!M22-様式6!Q65</f>
        <v>0</v>
      </c>
      <c r="R9" s="599"/>
    </row>
    <row r="10" spans="1:18" ht="26.25" customHeight="1" x14ac:dyDescent="0.2">
      <c r="A10" s="131"/>
      <c r="B10" s="980"/>
      <c r="C10" s="925"/>
      <c r="D10" s="137"/>
      <c r="E10" s="217"/>
      <c r="F10" s="986" t="s">
        <v>81</v>
      </c>
      <c r="G10" s="986"/>
      <c r="H10" s="986"/>
      <c r="I10" s="420"/>
      <c r="J10" s="421"/>
      <c r="K10" s="422"/>
      <c r="L10" s="450">
        <f>様式4!H24-様式6!L66</f>
        <v>0</v>
      </c>
      <c r="M10" s="421">
        <f>様式4!I24-様式6!M66</f>
        <v>0</v>
      </c>
      <c r="N10" s="421">
        <f>様式4!J24-様式6!N66</f>
        <v>0</v>
      </c>
      <c r="O10" s="421">
        <f>様式4!K24-様式6!O66</f>
        <v>0</v>
      </c>
      <c r="P10" s="451">
        <f>様式4!L24-様式6!P66</f>
        <v>0</v>
      </c>
      <c r="Q10" s="404">
        <f>様式4!M24-様式6!Q66</f>
        <v>0</v>
      </c>
      <c r="R10" s="599"/>
    </row>
    <row r="11" spans="1:18" ht="26.25" customHeight="1" x14ac:dyDescent="0.2">
      <c r="A11" s="131"/>
      <c r="B11" s="980"/>
      <c r="C11" s="926"/>
      <c r="D11" s="987" t="s">
        <v>336</v>
      </c>
      <c r="E11" s="988"/>
      <c r="F11" s="988"/>
      <c r="G11" s="988"/>
      <c r="H11" s="989"/>
      <c r="I11" s="439">
        <f>IF(入力!$I$14-3&lt;27,I5+I6+I7+I10,I5+I6+I7+I8+I9+I10)</f>
        <v>0</v>
      </c>
      <c r="J11" s="440">
        <f>IF(入力!$I$14-2&lt;27,J5+J6+J7+J10,J5+J6+J7+J8+J9+J10)</f>
        <v>0</v>
      </c>
      <c r="K11" s="441">
        <f>IF(入力!$I$14-1&lt;27,K5+K6+K7+K10,K5+K6+K7+K8+K9+K10)</f>
        <v>0</v>
      </c>
      <c r="L11" s="439">
        <f>IF(入力!$I$14&lt;27,L5+L6+L7+L10,L5+L6+L7+L8+L9+L10)</f>
        <v>0</v>
      </c>
      <c r="M11" s="440">
        <f>IF(入力!$I$14+1&lt;27,M5+M6+M7+M10,M5+M6+M7+M8+M9+M10)</f>
        <v>0</v>
      </c>
      <c r="N11" s="440">
        <f>IF(入力!$I$14+2&lt;27,N5+N6+N7+N10,N5+N6+N7+N8+N9+N10)</f>
        <v>0</v>
      </c>
      <c r="O11" s="440">
        <f>IF(入力!$I$14+3&lt;27,O5+O6+O7+O10,O5+O6+O7+O8+O9+O10)</f>
        <v>0</v>
      </c>
      <c r="P11" s="442">
        <f>IF(入力!$I$14+4&lt;27,P5+P6+P7+P10,P5+P6+P7+P8+P9+P10)</f>
        <v>0</v>
      </c>
      <c r="Q11" s="431">
        <f>SUM(Q5:Q10)</f>
        <v>0</v>
      </c>
      <c r="R11" s="599"/>
    </row>
    <row r="12" spans="1:18" ht="26.25" customHeight="1" x14ac:dyDescent="0.2">
      <c r="A12" s="131"/>
      <c r="B12" s="980"/>
      <c r="C12" s="990" t="s">
        <v>337</v>
      </c>
      <c r="D12" s="133"/>
      <c r="E12" s="983" t="s">
        <v>82</v>
      </c>
      <c r="F12" s="991"/>
      <c r="G12" s="991"/>
      <c r="H12" s="991"/>
      <c r="I12" s="383"/>
      <c r="J12" s="384"/>
      <c r="K12" s="385"/>
      <c r="L12" s="446">
        <f>様式4!H45-様式4!H51+様式8!L43+様式8!L44</f>
        <v>0</v>
      </c>
      <c r="M12" s="384">
        <f>様式4!I45-様式4!I51+様式8!M43+様式8!M44</f>
        <v>0</v>
      </c>
      <c r="N12" s="384">
        <f>様式4!J45-様式4!J51+様式8!N43+様式8!N44</f>
        <v>0</v>
      </c>
      <c r="O12" s="384">
        <f>様式4!K45-様式4!K51+様式8!O43+様式8!O44</f>
        <v>0</v>
      </c>
      <c r="P12" s="447">
        <f>様式4!L45-様式4!L51+様式8!P43+様式8!P44</f>
        <v>0</v>
      </c>
      <c r="Q12" s="387">
        <f>様式4!M45-様式4!M51+様式8!Q43+様式8!Q44</f>
        <v>0</v>
      </c>
      <c r="R12" s="599"/>
    </row>
    <row r="13" spans="1:18" ht="26.25" customHeight="1" x14ac:dyDescent="0.2">
      <c r="A13" s="131"/>
      <c r="B13" s="980"/>
      <c r="C13" s="892"/>
      <c r="D13" s="132"/>
      <c r="E13" s="984" t="s">
        <v>83</v>
      </c>
      <c r="F13" s="1000"/>
      <c r="G13" s="1000"/>
      <c r="H13" s="1000"/>
      <c r="I13" s="428"/>
      <c r="J13" s="429"/>
      <c r="K13" s="430"/>
      <c r="L13" s="374">
        <f>様式4!H52+様式8!L45</f>
        <v>0</v>
      </c>
      <c r="M13" s="429">
        <f>様式4!I52+様式8!M45</f>
        <v>0</v>
      </c>
      <c r="N13" s="429">
        <f>様式4!J52+様式8!N45</f>
        <v>0</v>
      </c>
      <c r="O13" s="429">
        <f>様式4!K52+様式8!O45</f>
        <v>0</v>
      </c>
      <c r="P13" s="448">
        <f>様式4!L52+様式8!P45</f>
        <v>0</v>
      </c>
      <c r="Q13" s="449">
        <f>様式4!M52+様式8!Q45</f>
        <v>0</v>
      </c>
      <c r="R13" s="599"/>
    </row>
    <row r="14" spans="1:18" ht="26.25" customHeight="1" x14ac:dyDescent="0.2">
      <c r="A14" s="131"/>
      <c r="B14" s="980"/>
      <c r="C14" s="892"/>
      <c r="D14" s="132"/>
      <c r="E14" s="260"/>
      <c r="F14" s="985" t="s">
        <v>372</v>
      </c>
      <c r="G14" s="984"/>
      <c r="H14" s="984"/>
      <c r="I14" s="428"/>
      <c r="J14" s="429"/>
      <c r="K14" s="430"/>
      <c r="L14" s="374">
        <f>L45</f>
        <v>0</v>
      </c>
      <c r="M14" s="429">
        <f t="shared" ref="M14:Q14" si="0">M45</f>
        <v>0</v>
      </c>
      <c r="N14" s="429">
        <f t="shared" si="0"/>
        <v>0</v>
      </c>
      <c r="O14" s="429">
        <f t="shared" si="0"/>
        <v>0</v>
      </c>
      <c r="P14" s="448">
        <f t="shared" si="0"/>
        <v>0</v>
      </c>
      <c r="Q14" s="449">
        <f t="shared" si="0"/>
        <v>0</v>
      </c>
      <c r="R14" s="599"/>
    </row>
    <row r="15" spans="1:18" ht="26.25" customHeight="1" x14ac:dyDescent="0.2">
      <c r="A15" s="131"/>
      <c r="B15" s="980"/>
      <c r="C15" s="892"/>
      <c r="D15" s="132"/>
      <c r="E15" s="984" t="s">
        <v>84</v>
      </c>
      <c r="F15" s="1000"/>
      <c r="G15" s="1000"/>
      <c r="H15" s="1000"/>
      <c r="I15" s="428"/>
      <c r="J15" s="429"/>
      <c r="K15" s="430"/>
      <c r="L15" s="374">
        <f>様式4!H53+様式8!L46-様式6!L68-様式6!L69</f>
        <v>0</v>
      </c>
      <c r="M15" s="374">
        <f>様式4!I53+様式8!M46-様式6!M68-様式6!M69</f>
        <v>0</v>
      </c>
      <c r="N15" s="374">
        <f>様式4!J53+様式8!N46-様式6!N68-様式6!N69</f>
        <v>0</v>
      </c>
      <c r="O15" s="374">
        <f>様式4!K53+様式8!O46-様式6!O68-様式6!O69</f>
        <v>0</v>
      </c>
      <c r="P15" s="462">
        <f>様式4!L53+様式8!P46-様式6!P68-様式6!P69</f>
        <v>0</v>
      </c>
      <c r="Q15" s="449">
        <f>様式4!M53+Q46-様式6!Q68-様式6!Q69</f>
        <v>0</v>
      </c>
      <c r="R15" s="599"/>
    </row>
    <row r="16" spans="1:18" ht="26.25" customHeight="1" x14ac:dyDescent="0.2">
      <c r="A16" s="131"/>
      <c r="B16" s="980"/>
      <c r="C16" s="892"/>
      <c r="D16" s="132"/>
      <c r="E16" s="260"/>
      <c r="F16" s="985" t="s">
        <v>372</v>
      </c>
      <c r="G16" s="984"/>
      <c r="H16" s="984"/>
      <c r="I16" s="428"/>
      <c r="J16" s="429"/>
      <c r="K16" s="430"/>
      <c r="L16" s="374">
        <f>L46</f>
        <v>0</v>
      </c>
      <c r="M16" s="429">
        <f t="shared" ref="M16:Q16" si="1">M46</f>
        <v>0</v>
      </c>
      <c r="N16" s="429">
        <f t="shared" si="1"/>
        <v>0</v>
      </c>
      <c r="O16" s="429">
        <f t="shared" si="1"/>
        <v>0</v>
      </c>
      <c r="P16" s="448">
        <f t="shared" si="1"/>
        <v>0</v>
      </c>
      <c r="Q16" s="449">
        <f t="shared" si="1"/>
        <v>0</v>
      </c>
      <c r="R16" s="599"/>
    </row>
    <row r="17" spans="1:18" ht="26.25" customHeight="1" x14ac:dyDescent="0.2">
      <c r="A17" s="131"/>
      <c r="B17" s="980"/>
      <c r="C17" s="892"/>
      <c r="D17" s="132"/>
      <c r="E17" s="984" t="s">
        <v>338</v>
      </c>
      <c r="F17" s="1000"/>
      <c r="G17" s="1000"/>
      <c r="H17" s="1000"/>
      <c r="I17" s="420"/>
      <c r="J17" s="421"/>
      <c r="K17" s="422"/>
      <c r="L17" s="374">
        <f>L48</f>
        <v>0</v>
      </c>
      <c r="M17" s="429">
        <f t="shared" ref="M17:Q17" si="2">M48</f>
        <v>0</v>
      </c>
      <c r="N17" s="429">
        <f t="shared" si="2"/>
        <v>0</v>
      </c>
      <c r="O17" s="429">
        <f t="shared" si="2"/>
        <v>0</v>
      </c>
      <c r="P17" s="448">
        <f t="shared" si="2"/>
        <v>0</v>
      </c>
      <c r="Q17" s="404">
        <f t="shared" si="2"/>
        <v>0</v>
      </c>
      <c r="R17" s="599"/>
    </row>
    <row r="18" spans="1:18" ht="26.25" customHeight="1" x14ac:dyDescent="0.2">
      <c r="A18" s="131"/>
      <c r="B18" s="980"/>
      <c r="C18" s="893"/>
      <c r="D18" s="243"/>
      <c r="E18" s="992" t="s">
        <v>339</v>
      </c>
      <c r="F18" s="992"/>
      <c r="G18" s="992"/>
      <c r="H18" s="993"/>
      <c r="I18" s="439">
        <f t="shared" ref="I18:K18" si="3">I12+I13+I15+I17</f>
        <v>0</v>
      </c>
      <c r="J18" s="440">
        <f t="shared" si="3"/>
        <v>0</v>
      </c>
      <c r="K18" s="453">
        <f t="shared" si="3"/>
        <v>0</v>
      </c>
      <c r="L18" s="439">
        <f>L12+L13+L15+L17</f>
        <v>0</v>
      </c>
      <c r="M18" s="440">
        <f t="shared" ref="M18:Q18" si="4">M12+M13+M15+M17</f>
        <v>0</v>
      </c>
      <c r="N18" s="440">
        <f t="shared" si="4"/>
        <v>0</v>
      </c>
      <c r="O18" s="440">
        <f t="shared" si="4"/>
        <v>0</v>
      </c>
      <c r="P18" s="453">
        <f t="shared" si="4"/>
        <v>0</v>
      </c>
      <c r="Q18" s="431">
        <f t="shared" si="4"/>
        <v>0</v>
      </c>
      <c r="R18" s="599"/>
    </row>
    <row r="19" spans="1:18" s="130" customFormat="1" ht="26.25" customHeight="1" thickBot="1" x14ac:dyDescent="0.25">
      <c r="A19" s="129"/>
      <c r="B19" s="981"/>
      <c r="C19" s="244"/>
      <c r="D19" s="997" t="s">
        <v>340</v>
      </c>
      <c r="E19" s="997"/>
      <c r="F19" s="997"/>
      <c r="G19" s="997"/>
      <c r="H19" s="997"/>
      <c r="I19" s="379">
        <f t="shared" ref="I19:K19" si="5">I11-I18</f>
        <v>0</v>
      </c>
      <c r="J19" s="413">
        <f t="shared" si="5"/>
        <v>0</v>
      </c>
      <c r="K19" s="470">
        <f t="shared" si="5"/>
        <v>0</v>
      </c>
      <c r="L19" s="379">
        <f>L11-L18</f>
        <v>0</v>
      </c>
      <c r="M19" s="413">
        <f t="shared" ref="M19:Q19" si="6">M11-M18</f>
        <v>0</v>
      </c>
      <c r="N19" s="413">
        <f t="shared" si="6"/>
        <v>0</v>
      </c>
      <c r="O19" s="413">
        <f t="shared" si="6"/>
        <v>0</v>
      </c>
      <c r="P19" s="414">
        <f t="shared" si="6"/>
        <v>0</v>
      </c>
      <c r="Q19" s="415">
        <f t="shared" si="6"/>
        <v>0</v>
      </c>
    </row>
    <row r="20" spans="1:18" s="130" customFormat="1" ht="26.25" customHeight="1" x14ac:dyDescent="0.2">
      <c r="A20" s="129"/>
      <c r="B20" s="1001" t="s">
        <v>341</v>
      </c>
      <c r="C20" s="1004" t="s">
        <v>334</v>
      </c>
      <c r="D20" s="261"/>
      <c r="E20" s="1007" t="s">
        <v>342</v>
      </c>
      <c r="F20" s="1008"/>
      <c r="G20" s="1008"/>
      <c r="H20" s="1009"/>
      <c r="I20" s="435"/>
      <c r="J20" s="436"/>
      <c r="K20" s="468"/>
      <c r="L20" s="435">
        <f>IF(入力!$I$14&gt;=27,様式4!H23,0)</f>
        <v>0</v>
      </c>
      <c r="M20" s="436">
        <f>IF(入力!$I$14+1&gt;=27,様式4!I23,0)</f>
        <v>0</v>
      </c>
      <c r="N20" s="436">
        <f>IF(入力!$I$14+2&gt;=27,様式4!J23,0)</f>
        <v>0</v>
      </c>
      <c r="O20" s="436">
        <f>IF(入力!$I$14+3&gt;=27,様式4!K23,0)</f>
        <v>0</v>
      </c>
      <c r="P20" s="436">
        <f>IF(入力!$I$14+4&gt;=27,様式4!L23,0)</f>
        <v>0</v>
      </c>
      <c r="Q20" s="461">
        <f>様式4!M23</f>
        <v>0</v>
      </c>
    </row>
    <row r="21" spans="1:18" s="130" customFormat="1" ht="26.25" customHeight="1" x14ac:dyDescent="0.2">
      <c r="A21" s="129"/>
      <c r="B21" s="1002"/>
      <c r="C21" s="1005"/>
      <c r="D21" s="320"/>
      <c r="E21" s="1010" t="s">
        <v>343</v>
      </c>
      <c r="F21" s="1011"/>
      <c r="G21" s="1011"/>
      <c r="H21" s="1012"/>
      <c r="I21" s="424"/>
      <c r="J21" s="425"/>
      <c r="K21" s="478"/>
      <c r="L21" s="424"/>
      <c r="M21" s="425"/>
      <c r="N21" s="425"/>
      <c r="O21" s="425"/>
      <c r="P21" s="427"/>
      <c r="Q21" s="427"/>
    </row>
    <row r="22" spans="1:18" s="130" customFormat="1" ht="26.25" customHeight="1" x14ac:dyDescent="0.2">
      <c r="A22" s="129"/>
      <c r="B22" s="1002"/>
      <c r="C22" s="1006"/>
      <c r="D22" s="246"/>
      <c r="E22" s="1013" t="s">
        <v>344</v>
      </c>
      <c r="F22" s="1014"/>
      <c r="G22" s="1014"/>
      <c r="H22" s="1015"/>
      <c r="I22" s="395">
        <f>IF(入力!$I$14-3&gt;=27,I20+I21,0)</f>
        <v>0</v>
      </c>
      <c r="J22" s="393">
        <f>IF(入力!$I$14-2&gt;=27,J20+J21,0)</f>
        <v>0</v>
      </c>
      <c r="K22" s="454">
        <f>IF(入力!$I$14-1&gt;=27,K20+K21,0)</f>
        <v>0</v>
      </c>
      <c r="L22" s="395">
        <f>IF(入力!$I$14&gt;=27,L20+L21,0)</f>
        <v>0</v>
      </c>
      <c r="M22" s="393">
        <f>IF(入力!$I$14+1&gt;=27,M20+M21,0)</f>
        <v>0</v>
      </c>
      <c r="N22" s="393">
        <f>IF(入力!$I$14+2&gt;=27,N20+N21,0)</f>
        <v>0</v>
      </c>
      <c r="O22" s="393">
        <f>IF(入力!$I$14+3&gt;=27,O20+O21,0)</f>
        <v>0</v>
      </c>
      <c r="P22" s="454">
        <f>IF(入力!$I$14+4&gt;=27,P20+P21,0)</f>
        <v>0</v>
      </c>
      <c r="Q22" s="431">
        <f>Q20+Q21</f>
        <v>0</v>
      </c>
    </row>
    <row r="23" spans="1:18" s="130" customFormat="1" ht="26.25" customHeight="1" x14ac:dyDescent="0.2">
      <c r="A23" s="129"/>
      <c r="B23" s="1002"/>
      <c r="C23" s="1016" t="s">
        <v>337</v>
      </c>
      <c r="D23" s="259"/>
      <c r="E23" s="1017" t="s">
        <v>345</v>
      </c>
      <c r="F23" s="998"/>
      <c r="G23" s="998"/>
      <c r="H23" s="999"/>
      <c r="I23" s="383"/>
      <c r="J23" s="384"/>
      <c r="K23" s="447"/>
      <c r="L23" s="383">
        <f>様式4!H54</f>
        <v>0</v>
      </c>
      <c r="M23" s="384">
        <f>様式4!I54</f>
        <v>0</v>
      </c>
      <c r="N23" s="384">
        <f>様式4!J54</f>
        <v>0</v>
      </c>
      <c r="O23" s="384">
        <f>様式4!K54</f>
        <v>0</v>
      </c>
      <c r="P23" s="447">
        <f>様式4!L54</f>
        <v>0</v>
      </c>
      <c r="Q23" s="387">
        <f>様式4!M54</f>
        <v>0</v>
      </c>
    </row>
    <row r="24" spans="1:18" s="130" customFormat="1" ht="26.25" customHeight="1" x14ac:dyDescent="0.2">
      <c r="A24" s="129"/>
      <c r="B24" s="1002"/>
      <c r="C24" s="1005"/>
      <c r="D24" s="320"/>
      <c r="E24" s="1010" t="s">
        <v>346</v>
      </c>
      <c r="F24" s="1010"/>
      <c r="G24" s="1010"/>
      <c r="H24" s="1018"/>
      <c r="I24" s="424"/>
      <c r="J24" s="425"/>
      <c r="K24" s="478"/>
      <c r="L24" s="424"/>
      <c r="M24" s="425"/>
      <c r="N24" s="425"/>
      <c r="O24" s="425"/>
      <c r="P24" s="427"/>
      <c r="Q24" s="427"/>
    </row>
    <row r="25" spans="1:18" s="130" customFormat="1" ht="26.25" customHeight="1" x14ac:dyDescent="0.2">
      <c r="A25" s="129"/>
      <c r="B25" s="1002"/>
      <c r="C25" s="1006"/>
      <c r="D25" s="246"/>
      <c r="E25" s="1013" t="s">
        <v>347</v>
      </c>
      <c r="F25" s="1014"/>
      <c r="G25" s="1014"/>
      <c r="H25" s="1015"/>
      <c r="I25" s="395">
        <f>IF(入力!$I$14-3&gt;=27,I23+I24,I23)</f>
        <v>0</v>
      </c>
      <c r="J25" s="393">
        <f>IF(入力!$I$14-2&gt;=27,J23+J24,J23)</f>
        <v>0</v>
      </c>
      <c r="K25" s="454">
        <f>IF(入力!$I$14-1&gt;=27,K23+K24,K23)</f>
        <v>0</v>
      </c>
      <c r="L25" s="395">
        <f>IF(入力!$I$14&gt;=27,L23+L24,L23)</f>
        <v>0</v>
      </c>
      <c r="M25" s="393">
        <f>IF(入力!$I$14+1&gt;=27,M23+M24,M23)</f>
        <v>0</v>
      </c>
      <c r="N25" s="393">
        <f>IF(入力!$I$14+2&gt;=27,N23+N24,N23)</f>
        <v>0</v>
      </c>
      <c r="O25" s="393">
        <f>IF(入力!$I$14+3&gt;=27,O23+O24,O23)</f>
        <v>0</v>
      </c>
      <c r="P25" s="454">
        <f>IF(入力!$I$14+4&gt;=27,P23+P24,P23)</f>
        <v>0</v>
      </c>
      <c r="Q25" s="431">
        <f>Q23+Q24</f>
        <v>0</v>
      </c>
    </row>
    <row r="26" spans="1:18" s="130" customFormat="1" ht="26.25" customHeight="1" thickBot="1" x14ac:dyDescent="0.25">
      <c r="A26" s="129"/>
      <c r="B26" s="1003"/>
      <c r="C26" s="244"/>
      <c r="D26" s="259"/>
      <c r="E26" s="997" t="s">
        <v>348</v>
      </c>
      <c r="F26" s="998"/>
      <c r="G26" s="998"/>
      <c r="H26" s="999"/>
      <c r="I26" s="379">
        <f t="shared" ref="I26:K26" si="7">I22-I25</f>
        <v>0</v>
      </c>
      <c r="J26" s="413">
        <f t="shared" si="7"/>
        <v>0</v>
      </c>
      <c r="K26" s="470">
        <f t="shared" si="7"/>
        <v>0</v>
      </c>
      <c r="L26" s="383">
        <f>L22-L25</f>
        <v>0</v>
      </c>
      <c r="M26" s="384">
        <f t="shared" ref="M26:Q26" si="8">M22-M25</f>
        <v>0</v>
      </c>
      <c r="N26" s="384">
        <f t="shared" si="8"/>
        <v>0</v>
      </c>
      <c r="O26" s="384">
        <f t="shared" si="8"/>
        <v>0</v>
      </c>
      <c r="P26" s="447">
        <f t="shared" si="8"/>
        <v>0</v>
      </c>
      <c r="Q26" s="415">
        <f t="shared" si="8"/>
        <v>0</v>
      </c>
    </row>
    <row r="27" spans="1:18" s="130" customFormat="1" ht="26.25" customHeight="1" thickBot="1" x14ac:dyDescent="0.25">
      <c r="A27" s="129"/>
      <c r="B27" s="247"/>
      <c r="C27" s="248"/>
      <c r="D27" s="258"/>
      <c r="E27" s="994" t="s">
        <v>349</v>
      </c>
      <c r="F27" s="995"/>
      <c r="G27" s="995"/>
      <c r="H27" s="996"/>
      <c r="I27" s="455">
        <f t="shared" ref="I27:K27" si="9">I19+I26</f>
        <v>0</v>
      </c>
      <c r="J27" s="456">
        <f t="shared" si="9"/>
        <v>0</v>
      </c>
      <c r="K27" s="459">
        <f t="shared" si="9"/>
        <v>0</v>
      </c>
      <c r="L27" s="455">
        <f>L19+L26</f>
        <v>0</v>
      </c>
      <c r="M27" s="456">
        <f t="shared" ref="M27:Q27" si="10">M19+M26</f>
        <v>0</v>
      </c>
      <c r="N27" s="456">
        <f t="shared" si="10"/>
        <v>0</v>
      </c>
      <c r="O27" s="456">
        <f t="shared" si="10"/>
        <v>0</v>
      </c>
      <c r="P27" s="459">
        <f t="shared" si="10"/>
        <v>0</v>
      </c>
      <c r="Q27" s="460">
        <f t="shared" si="10"/>
        <v>0</v>
      </c>
    </row>
    <row r="28" spans="1:18" s="130" customFormat="1" ht="26.25" customHeight="1" x14ac:dyDescent="0.2">
      <c r="A28" s="129"/>
      <c r="B28" s="1001" t="s">
        <v>350</v>
      </c>
      <c r="C28" s="1004" t="s">
        <v>334</v>
      </c>
      <c r="D28" s="245"/>
      <c r="E28" s="1007" t="s">
        <v>80</v>
      </c>
      <c r="F28" s="1007"/>
      <c r="G28" s="1007"/>
      <c r="H28" s="1028"/>
      <c r="I28" s="435"/>
      <c r="J28" s="436"/>
      <c r="K28" s="468"/>
      <c r="L28" s="428">
        <f>L42</f>
        <v>0</v>
      </c>
      <c r="M28" s="429">
        <f t="shared" ref="M28:Q28" si="11">M42</f>
        <v>0</v>
      </c>
      <c r="N28" s="429">
        <f t="shared" si="11"/>
        <v>0</v>
      </c>
      <c r="O28" s="429">
        <f t="shared" si="11"/>
        <v>0</v>
      </c>
      <c r="P28" s="448">
        <f t="shared" si="11"/>
        <v>0</v>
      </c>
      <c r="Q28" s="461">
        <f t="shared" si="11"/>
        <v>0</v>
      </c>
    </row>
    <row r="29" spans="1:18" s="130" customFormat="1" ht="26.25" customHeight="1" x14ac:dyDescent="0.2">
      <c r="A29" s="129"/>
      <c r="B29" s="1002"/>
      <c r="C29" s="1005"/>
      <c r="D29" s="320"/>
      <c r="E29" s="1010" t="s">
        <v>351</v>
      </c>
      <c r="F29" s="1011"/>
      <c r="G29" s="1011"/>
      <c r="H29" s="1012"/>
      <c r="I29" s="424"/>
      <c r="J29" s="425"/>
      <c r="K29" s="478"/>
      <c r="L29" s="424"/>
      <c r="M29" s="425"/>
      <c r="N29" s="425"/>
      <c r="O29" s="425"/>
      <c r="P29" s="427"/>
      <c r="Q29" s="427"/>
    </row>
    <row r="30" spans="1:18" s="130" customFormat="1" ht="26.25" customHeight="1" x14ac:dyDescent="0.2">
      <c r="A30" s="129"/>
      <c r="B30" s="1002"/>
      <c r="C30" s="1006"/>
      <c r="D30" s="246"/>
      <c r="E30" s="1013" t="s">
        <v>352</v>
      </c>
      <c r="F30" s="1014"/>
      <c r="G30" s="1014"/>
      <c r="H30" s="1015"/>
      <c r="I30" s="395">
        <f>IF(入力!$I$14-3&gt;=27,I28+I29,I28)</f>
        <v>0</v>
      </c>
      <c r="J30" s="393">
        <f>IF(入力!$I$14-2&gt;=27,J28+J29,J28)</f>
        <v>0</v>
      </c>
      <c r="K30" s="454">
        <f>IF(入力!$I$14-1&gt;=27,K28+K29,K28)</f>
        <v>0</v>
      </c>
      <c r="L30" s="395">
        <f>IF(入力!$I$14&gt;=27,L28+L29,L28)</f>
        <v>0</v>
      </c>
      <c r="M30" s="393">
        <f>IF(入力!$I$14+1&gt;=27,M28+M29,M28)</f>
        <v>0</v>
      </c>
      <c r="N30" s="393">
        <f>IF(入力!$I$14+2&gt;=27,N28+N29,N28)</f>
        <v>0</v>
      </c>
      <c r="O30" s="393">
        <f>IF(入力!$I$14+3&gt;=27,O28+O29,O28)</f>
        <v>0</v>
      </c>
      <c r="P30" s="454">
        <f>IF(入力!$I$14+4&gt;=27,P28+P29,P28)</f>
        <v>0</v>
      </c>
      <c r="Q30" s="431">
        <f>Q28+Q29</f>
        <v>0</v>
      </c>
    </row>
    <row r="31" spans="1:18" s="130" customFormat="1" ht="26.25" customHeight="1" x14ac:dyDescent="0.2">
      <c r="A31" s="129"/>
      <c r="B31" s="1002"/>
      <c r="C31" s="1016" t="s">
        <v>353</v>
      </c>
      <c r="D31" s="259"/>
      <c r="E31" s="1017" t="s">
        <v>85</v>
      </c>
      <c r="F31" s="998"/>
      <c r="G31" s="998"/>
      <c r="H31" s="999"/>
      <c r="I31" s="383"/>
      <c r="J31" s="384"/>
      <c r="K31" s="447"/>
      <c r="L31" s="383">
        <f>L47</f>
        <v>0</v>
      </c>
      <c r="M31" s="384">
        <f t="shared" ref="M31:Q31" si="12">M47</f>
        <v>0</v>
      </c>
      <c r="N31" s="384">
        <f t="shared" si="12"/>
        <v>0</v>
      </c>
      <c r="O31" s="384">
        <f t="shared" si="12"/>
        <v>0</v>
      </c>
      <c r="P31" s="447">
        <f t="shared" si="12"/>
        <v>0</v>
      </c>
      <c r="Q31" s="387">
        <f t="shared" si="12"/>
        <v>0</v>
      </c>
    </row>
    <row r="32" spans="1:18" s="130" customFormat="1" ht="26.25" customHeight="1" x14ac:dyDescent="0.2">
      <c r="A32" s="129"/>
      <c r="B32" s="1002"/>
      <c r="C32" s="1005"/>
      <c r="D32" s="320"/>
      <c r="E32" s="1010" t="s">
        <v>354</v>
      </c>
      <c r="F32" s="1011"/>
      <c r="G32" s="1011"/>
      <c r="H32" s="1012"/>
      <c r="I32" s="424"/>
      <c r="J32" s="425"/>
      <c r="K32" s="478"/>
      <c r="L32" s="424"/>
      <c r="M32" s="425"/>
      <c r="N32" s="425"/>
      <c r="O32" s="425"/>
      <c r="P32" s="427"/>
      <c r="Q32" s="427"/>
    </row>
    <row r="33" spans="1:19" s="130" customFormat="1" ht="26.25" customHeight="1" x14ac:dyDescent="0.2">
      <c r="A33" s="129"/>
      <c r="B33" s="1002"/>
      <c r="C33" s="1006"/>
      <c r="D33" s="249"/>
      <c r="E33" s="1025" t="s">
        <v>355</v>
      </c>
      <c r="F33" s="1026"/>
      <c r="G33" s="1026"/>
      <c r="H33" s="1027"/>
      <c r="I33" s="439">
        <f>IF(入力!$I$14-3&gt;=27,I31+I32,I31)</f>
        <v>0</v>
      </c>
      <c r="J33" s="440">
        <f>IF(入力!$I$14-2&gt;=27,J31+J32,J31)</f>
        <v>0</v>
      </c>
      <c r="K33" s="453">
        <f>IF(入力!$I$14-1&gt;=27,K31+K32,K31)</f>
        <v>0</v>
      </c>
      <c r="L33" s="439">
        <f>IF(入力!$I$14&gt;=27,L31+L32,L31)</f>
        <v>0</v>
      </c>
      <c r="M33" s="440">
        <f>IF(入力!$I$14+1&gt;=27,M31+M32,M31)</f>
        <v>0</v>
      </c>
      <c r="N33" s="440">
        <f>IF(入力!$I$14+2&gt;=27,N31+N32,N31)</f>
        <v>0</v>
      </c>
      <c r="O33" s="440">
        <f>IF(入力!$I$14+3&gt;=27,O31+O32,O31)</f>
        <v>0</v>
      </c>
      <c r="P33" s="453">
        <f>IF(入力!$I$14+4&gt;=27,P31+P32,P31)</f>
        <v>0</v>
      </c>
      <c r="Q33" s="431">
        <f>Q31+Q32</f>
        <v>0</v>
      </c>
    </row>
    <row r="34" spans="1:19" s="130" customFormat="1" ht="26.25" customHeight="1" x14ac:dyDescent="0.2">
      <c r="A34" s="129"/>
      <c r="B34" s="1002"/>
      <c r="D34" s="245"/>
      <c r="E34" s="997" t="s">
        <v>356</v>
      </c>
      <c r="F34" s="998"/>
      <c r="G34" s="998"/>
      <c r="H34" s="999"/>
      <c r="I34" s="383">
        <f t="shared" ref="I34:K34" si="13">I30-I33</f>
        <v>0</v>
      </c>
      <c r="J34" s="384">
        <f t="shared" si="13"/>
        <v>0</v>
      </c>
      <c r="K34" s="447">
        <f t="shared" si="13"/>
        <v>0</v>
      </c>
      <c r="L34" s="428">
        <f>L30-L33</f>
        <v>0</v>
      </c>
      <c r="M34" s="429">
        <f t="shared" ref="M34:Q34" si="14">M30-M33</f>
        <v>0</v>
      </c>
      <c r="N34" s="429">
        <f t="shared" si="14"/>
        <v>0</v>
      </c>
      <c r="O34" s="429">
        <f t="shared" si="14"/>
        <v>0</v>
      </c>
      <c r="P34" s="448">
        <f t="shared" si="14"/>
        <v>0</v>
      </c>
      <c r="Q34" s="387">
        <f t="shared" si="14"/>
        <v>0</v>
      </c>
    </row>
    <row r="35" spans="1:19" s="130" customFormat="1" ht="26.25" customHeight="1" thickBot="1" x14ac:dyDescent="0.25">
      <c r="A35" s="129"/>
      <c r="B35" s="323"/>
      <c r="C35" s="324"/>
      <c r="D35" s="325"/>
      <c r="E35" s="1019" t="s">
        <v>357</v>
      </c>
      <c r="F35" s="1020"/>
      <c r="G35" s="1020"/>
      <c r="H35" s="1021"/>
      <c r="I35" s="375">
        <f>I27+I34</f>
        <v>0</v>
      </c>
      <c r="J35" s="406">
        <f t="shared" ref="J35:Q35" si="15">J27+J34</f>
        <v>0</v>
      </c>
      <c r="K35" s="480">
        <f t="shared" si="15"/>
        <v>0</v>
      </c>
      <c r="L35" s="375">
        <f t="shared" si="15"/>
        <v>0</v>
      </c>
      <c r="M35" s="406">
        <f t="shared" si="15"/>
        <v>0</v>
      </c>
      <c r="N35" s="406">
        <f t="shared" si="15"/>
        <v>0</v>
      </c>
      <c r="O35" s="406">
        <f t="shared" si="15"/>
        <v>0</v>
      </c>
      <c r="P35" s="407">
        <f t="shared" si="15"/>
        <v>0</v>
      </c>
      <c r="Q35" s="408">
        <f t="shared" si="15"/>
        <v>0</v>
      </c>
    </row>
    <row r="36" spans="1:19" s="130" customFormat="1" ht="17.25" customHeight="1" thickBot="1" x14ac:dyDescent="0.25">
      <c r="A36" s="129"/>
      <c r="B36" s="1022" t="s">
        <v>358</v>
      </c>
      <c r="C36" s="1023"/>
      <c r="D36" s="245"/>
      <c r="E36" s="245"/>
      <c r="F36" s="245"/>
      <c r="G36" s="245"/>
      <c r="H36" s="245"/>
      <c r="I36" s="462"/>
      <c r="J36" s="462"/>
      <c r="K36" s="462"/>
      <c r="L36" s="462"/>
      <c r="M36" s="462"/>
      <c r="N36" s="462"/>
      <c r="O36" s="462"/>
      <c r="P36" s="462"/>
      <c r="Q36" s="463"/>
    </row>
    <row r="37" spans="1:19" s="130" customFormat="1" ht="26.25" customHeight="1" x14ac:dyDescent="0.2">
      <c r="A37" s="129"/>
      <c r="B37" s="251"/>
      <c r="C37" s="252"/>
      <c r="D37" s="253"/>
      <c r="E37" s="1029" t="s">
        <v>359</v>
      </c>
      <c r="F37" s="1030"/>
      <c r="G37" s="1030"/>
      <c r="H37" s="1031"/>
      <c r="I37" s="464">
        <f t="shared" ref="I37:K37" si="16">I11+I22+I30</f>
        <v>0</v>
      </c>
      <c r="J37" s="465">
        <f t="shared" si="16"/>
        <v>0</v>
      </c>
      <c r="K37" s="466">
        <f t="shared" si="16"/>
        <v>0</v>
      </c>
      <c r="L37" s="467">
        <f>L11+L22+L30</f>
        <v>0</v>
      </c>
      <c r="M37" s="436">
        <f t="shared" ref="M37:Q37" si="17">M11+M22+M30</f>
        <v>0</v>
      </c>
      <c r="N37" s="436">
        <f t="shared" si="17"/>
        <v>0</v>
      </c>
      <c r="O37" s="436">
        <f t="shared" si="17"/>
        <v>0</v>
      </c>
      <c r="P37" s="468">
        <f t="shared" si="17"/>
        <v>0</v>
      </c>
      <c r="Q37" s="469">
        <f t="shared" si="17"/>
        <v>0</v>
      </c>
    </row>
    <row r="38" spans="1:19" s="130" customFormat="1" ht="26.25" customHeight="1" thickBot="1" x14ac:dyDescent="0.25">
      <c r="A38" s="129"/>
      <c r="B38" s="254"/>
      <c r="C38" s="255"/>
      <c r="D38" s="256"/>
      <c r="E38" s="1032" t="s">
        <v>360</v>
      </c>
      <c r="F38" s="1033"/>
      <c r="G38" s="1033"/>
      <c r="H38" s="1034"/>
      <c r="I38" s="379">
        <f t="shared" ref="I38:K38" si="18">I18+I25+I33</f>
        <v>0</v>
      </c>
      <c r="J38" s="413">
        <f t="shared" si="18"/>
        <v>0</v>
      </c>
      <c r="K38" s="434">
        <f t="shared" si="18"/>
        <v>0</v>
      </c>
      <c r="L38" s="380">
        <f>L18+L25+L33</f>
        <v>0</v>
      </c>
      <c r="M38" s="413">
        <f t="shared" ref="M38:Q38" si="19">M18+M25+M33</f>
        <v>0</v>
      </c>
      <c r="N38" s="413">
        <f t="shared" si="19"/>
        <v>0</v>
      </c>
      <c r="O38" s="413">
        <f t="shared" si="19"/>
        <v>0</v>
      </c>
      <c r="P38" s="470">
        <f t="shared" si="19"/>
        <v>0</v>
      </c>
      <c r="Q38" s="415">
        <f t="shared" si="19"/>
        <v>0</v>
      </c>
    </row>
    <row r="39" spans="1:19" s="130" customFormat="1" ht="26.25" customHeight="1" thickBot="1" x14ac:dyDescent="0.25">
      <c r="A39" s="129"/>
      <c r="B39" s="252"/>
      <c r="C39" s="252"/>
      <c r="D39" s="261"/>
      <c r="E39" s="261"/>
      <c r="F39" s="261"/>
      <c r="G39" s="261"/>
      <c r="H39" s="261"/>
      <c r="I39" s="250"/>
      <c r="J39" s="250"/>
      <c r="K39" s="250"/>
      <c r="L39" s="250"/>
      <c r="M39" s="250"/>
      <c r="N39" s="250"/>
      <c r="O39" s="250"/>
      <c r="P39" s="250"/>
      <c r="Q39" s="250"/>
    </row>
    <row r="40" spans="1:19" ht="26.25" customHeight="1" thickBot="1" x14ac:dyDescent="0.25">
      <c r="A40" s="131"/>
      <c r="B40" s="1035" t="s">
        <v>385</v>
      </c>
      <c r="C40" s="940"/>
      <c r="D40" s="940"/>
      <c r="E40" s="940"/>
      <c r="F40" s="940"/>
      <c r="G40" s="940"/>
      <c r="H40" s="940"/>
      <c r="I40" s="940"/>
      <c r="J40" s="940"/>
      <c r="K40" s="940"/>
      <c r="L40" s="940"/>
      <c r="M40" s="940"/>
      <c r="N40" s="940"/>
      <c r="O40" s="940"/>
      <c r="P40" s="940"/>
      <c r="Q40" s="1036"/>
      <c r="R40" s="599"/>
    </row>
    <row r="41" spans="1:19" ht="26.25" customHeight="1" thickTop="1" x14ac:dyDescent="0.2">
      <c r="B41" s="959" t="s">
        <v>407</v>
      </c>
      <c r="C41" s="960"/>
      <c r="D41" s="960"/>
      <c r="E41" s="960"/>
      <c r="F41" s="960"/>
      <c r="G41" s="1037"/>
      <c r="H41" s="1037"/>
      <c r="I41" s="464"/>
      <c r="J41" s="465"/>
      <c r="K41" s="465"/>
      <c r="L41" s="471"/>
      <c r="M41" s="472"/>
      <c r="N41" s="472"/>
      <c r="O41" s="472"/>
      <c r="P41" s="473"/>
      <c r="Q41" s="630"/>
      <c r="R41" s="599"/>
    </row>
    <row r="42" spans="1:19" ht="26.25" customHeight="1" x14ac:dyDescent="0.2">
      <c r="B42" s="951" t="s">
        <v>157</v>
      </c>
      <c r="C42" s="952"/>
      <c r="D42" s="952"/>
      <c r="E42" s="952"/>
      <c r="F42" s="952"/>
      <c r="G42" s="1024"/>
      <c r="H42" s="1024"/>
      <c r="I42" s="375"/>
      <c r="J42" s="406"/>
      <c r="K42" s="406"/>
      <c r="L42" s="474"/>
      <c r="M42" s="377"/>
      <c r="N42" s="377"/>
      <c r="O42" s="377"/>
      <c r="P42" s="378"/>
      <c r="Q42" s="631"/>
      <c r="R42" s="599"/>
    </row>
    <row r="43" spans="1:19" ht="26.25" customHeight="1" x14ac:dyDescent="0.2">
      <c r="B43" s="951" t="s">
        <v>158</v>
      </c>
      <c r="C43" s="952"/>
      <c r="D43" s="952"/>
      <c r="E43" s="952"/>
      <c r="F43" s="952"/>
      <c r="G43" s="1024"/>
      <c r="H43" s="1024"/>
      <c r="I43" s="375"/>
      <c r="J43" s="406"/>
      <c r="K43" s="406"/>
      <c r="L43" s="474"/>
      <c r="M43" s="377"/>
      <c r="N43" s="377"/>
      <c r="O43" s="377"/>
      <c r="P43" s="378"/>
      <c r="Q43" s="631"/>
      <c r="R43" s="599"/>
    </row>
    <row r="44" spans="1:19" ht="26.25" customHeight="1" x14ac:dyDescent="0.2">
      <c r="B44" s="951" t="s">
        <v>386</v>
      </c>
      <c r="C44" s="952"/>
      <c r="D44" s="952"/>
      <c r="E44" s="952"/>
      <c r="F44" s="952"/>
      <c r="G44" s="953"/>
      <c r="H44" s="953"/>
      <c r="I44" s="375"/>
      <c r="J44" s="406"/>
      <c r="K44" s="406"/>
      <c r="L44" s="474"/>
      <c r="M44" s="377"/>
      <c r="N44" s="377"/>
      <c r="O44" s="377"/>
      <c r="P44" s="378"/>
      <c r="Q44" s="631"/>
      <c r="R44" s="599"/>
    </row>
    <row r="45" spans="1:19" ht="26.25" customHeight="1" x14ac:dyDescent="0.2">
      <c r="B45" s="951" t="s">
        <v>159</v>
      </c>
      <c r="C45" s="952"/>
      <c r="D45" s="952"/>
      <c r="E45" s="952"/>
      <c r="F45" s="952"/>
      <c r="G45" s="1024"/>
      <c r="H45" s="1024"/>
      <c r="I45" s="375"/>
      <c r="J45" s="406"/>
      <c r="K45" s="406"/>
      <c r="L45" s="474"/>
      <c r="M45" s="377"/>
      <c r="N45" s="377"/>
      <c r="O45" s="377"/>
      <c r="P45" s="378"/>
      <c r="Q45" s="631"/>
      <c r="R45" s="599"/>
    </row>
    <row r="46" spans="1:19" ht="26.25" customHeight="1" x14ac:dyDescent="0.2">
      <c r="B46" s="951" t="s">
        <v>160</v>
      </c>
      <c r="C46" s="952"/>
      <c r="D46" s="952"/>
      <c r="E46" s="952"/>
      <c r="F46" s="952"/>
      <c r="G46" s="1024"/>
      <c r="H46" s="1024"/>
      <c r="I46" s="375"/>
      <c r="J46" s="406"/>
      <c r="K46" s="406"/>
      <c r="L46" s="474"/>
      <c r="M46" s="377"/>
      <c r="N46" s="377"/>
      <c r="O46" s="377"/>
      <c r="P46" s="378"/>
      <c r="Q46" s="631"/>
      <c r="R46" s="599"/>
      <c r="S46" s="139"/>
    </row>
    <row r="47" spans="1:19" ht="26.25" customHeight="1" x14ac:dyDescent="0.2">
      <c r="B47" s="951" t="s">
        <v>361</v>
      </c>
      <c r="C47" s="952"/>
      <c r="D47" s="952"/>
      <c r="E47" s="952"/>
      <c r="F47" s="952"/>
      <c r="G47" s="1024"/>
      <c r="H47" s="1024"/>
      <c r="I47" s="375"/>
      <c r="J47" s="406"/>
      <c r="K47" s="406"/>
      <c r="L47" s="474"/>
      <c r="M47" s="377"/>
      <c r="N47" s="377"/>
      <c r="O47" s="377"/>
      <c r="P47" s="378"/>
      <c r="Q47" s="631"/>
      <c r="R47" s="599"/>
    </row>
    <row r="48" spans="1:19" ht="26.25" customHeight="1" thickBot="1" x14ac:dyDescent="0.25">
      <c r="B48" s="955" t="s">
        <v>362</v>
      </c>
      <c r="C48" s="956"/>
      <c r="D48" s="956"/>
      <c r="E48" s="956"/>
      <c r="F48" s="956"/>
      <c r="G48" s="957"/>
      <c r="H48" s="957"/>
      <c r="I48" s="379"/>
      <c r="J48" s="413"/>
      <c r="K48" s="413"/>
      <c r="L48" s="475"/>
      <c r="M48" s="381"/>
      <c r="N48" s="381"/>
      <c r="O48" s="381"/>
      <c r="P48" s="382"/>
      <c r="Q48" s="632"/>
      <c r="R48" s="599"/>
    </row>
  </sheetData>
  <mergeCells count="55">
    <mergeCell ref="B47:H47"/>
    <mergeCell ref="E37:H37"/>
    <mergeCell ref="B48:H48"/>
    <mergeCell ref="E38:H38"/>
    <mergeCell ref="B40:Q40"/>
    <mergeCell ref="B41:H41"/>
    <mergeCell ref="B42:H42"/>
    <mergeCell ref="B43:H43"/>
    <mergeCell ref="B44:H44"/>
    <mergeCell ref="B28:B34"/>
    <mergeCell ref="E35:H35"/>
    <mergeCell ref="B36:C36"/>
    <mergeCell ref="B45:H45"/>
    <mergeCell ref="B46:H46"/>
    <mergeCell ref="C31:C33"/>
    <mergeCell ref="E31:H31"/>
    <mergeCell ref="E32:H32"/>
    <mergeCell ref="E33:H33"/>
    <mergeCell ref="E29:H29"/>
    <mergeCell ref="E30:H30"/>
    <mergeCell ref="C28:C30"/>
    <mergeCell ref="E28:H28"/>
    <mergeCell ref="B20:B26"/>
    <mergeCell ref="C20:C22"/>
    <mergeCell ref="E20:H20"/>
    <mergeCell ref="E21:H21"/>
    <mergeCell ref="E22:H22"/>
    <mergeCell ref="C23:C25"/>
    <mergeCell ref="E23:H23"/>
    <mergeCell ref="E24:H24"/>
    <mergeCell ref="E25:H25"/>
    <mergeCell ref="E26:H26"/>
    <mergeCell ref="E27:H27"/>
    <mergeCell ref="E34:H34"/>
    <mergeCell ref="D19:H19"/>
    <mergeCell ref="E13:H13"/>
    <mergeCell ref="F14:H14"/>
    <mergeCell ref="E15:H15"/>
    <mergeCell ref="F16:H16"/>
    <mergeCell ref="E17:H17"/>
    <mergeCell ref="P1:Q1"/>
    <mergeCell ref="B3:H3"/>
    <mergeCell ref="C4:H4"/>
    <mergeCell ref="B5:B19"/>
    <mergeCell ref="C5:C11"/>
    <mergeCell ref="F5:H5"/>
    <mergeCell ref="F6:H6"/>
    <mergeCell ref="F7:H7"/>
    <mergeCell ref="F8:H8"/>
    <mergeCell ref="F9:H9"/>
    <mergeCell ref="F10:H10"/>
    <mergeCell ref="D11:H11"/>
    <mergeCell ref="C12:C18"/>
    <mergeCell ref="E12:H12"/>
    <mergeCell ref="E18:H18"/>
  </mergeCells>
  <phoneticPr fontId="2"/>
  <conditionalFormatting sqref="L4:Q4">
    <cfRule type="cellIs" dxfId="159" priority="178" stopIfTrue="1" operator="between">
      <formula>"実績"</formula>
      <formula>"実績"</formula>
    </cfRule>
    <cfRule type="cellIs" dxfId="158" priority="179" stopIfTrue="1" operator="between">
      <formula>"見込"</formula>
      <formula>"見込"</formula>
    </cfRule>
  </conditionalFormatting>
  <pageMargins left="0.6" right="0.2" top="0.85" bottom="0.37" header="0.56999999999999995" footer="0.21"/>
  <pageSetup paperSize="9" scale="59" orientation="portrait" r:id="rId1"/>
  <headerFooter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expression" priority="158" id="{A72061FB-E9CC-4543-8D88-F4C0CF10F783}">
            <xm:f>入力!$B$14-3&lt;27</xm:f>
            <x14:dxf>
              <fill>
                <patternFill patternType="mediumGray"/>
              </fill>
            </x14:dxf>
          </x14:cfRule>
          <xm:sqref>I9</xm:sqref>
        </x14:conditionalFormatting>
        <x14:conditionalFormatting xmlns:xm="http://schemas.microsoft.com/office/excel/2006/main">
          <x14:cfRule type="expression" priority="157" id="{1128A2D5-90B7-471D-A31B-CE854400FF85}">
            <xm:f>入力!$B$14-2&lt;27</xm:f>
            <x14:dxf>
              <fill>
                <patternFill patternType="mediumGray"/>
              </fill>
            </x14:dxf>
          </x14:cfRule>
          <xm:sqref>J9</xm:sqref>
        </x14:conditionalFormatting>
        <x14:conditionalFormatting xmlns:xm="http://schemas.microsoft.com/office/excel/2006/main">
          <x14:cfRule type="expression" priority="156" id="{5BB2FCA1-B5F3-4B09-AEC6-478A4F62EB5D}">
            <xm:f>入力!$B$14-1&lt;27</xm:f>
            <x14:dxf>
              <fill>
                <patternFill patternType="mediumGray"/>
              </fill>
            </x14:dxf>
          </x14:cfRule>
          <xm:sqref>K9</xm:sqref>
        </x14:conditionalFormatting>
        <x14:conditionalFormatting xmlns:xm="http://schemas.microsoft.com/office/excel/2006/main">
          <x14:cfRule type="expression" priority="155" id="{6DABA1FE-9D3E-4E67-9B37-EC5C75EC4923}">
            <xm:f>入力!$B$14&lt;27</xm:f>
            <x14:dxf>
              <fill>
                <patternFill patternType="mediumGray"/>
              </fill>
            </x14:dxf>
          </x14:cfRule>
          <xm:sqref>L9</xm:sqref>
        </x14:conditionalFormatting>
        <x14:conditionalFormatting xmlns:xm="http://schemas.microsoft.com/office/excel/2006/main">
          <x14:cfRule type="expression" priority="154" id="{1D952E44-24D7-4E3F-B6BF-CDA0FBF0D0D8}">
            <xm:f>入力!$B$14+1&lt;27</xm:f>
            <x14:dxf>
              <fill>
                <patternFill patternType="mediumGray"/>
              </fill>
            </x14:dxf>
          </x14:cfRule>
          <xm:sqref>M9</xm:sqref>
        </x14:conditionalFormatting>
        <x14:conditionalFormatting xmlns:xm="http://schemas.microsoft.com/office/excel/2006/main">
          <x14:cfRule type="expression" priority="153" id="{B0186D4E-2C8B-494F-8D40-B8AC6964CF3D}">
            <xm:f>入力!$B$14+2&lt;27</xm:f>
            <x14:dxf>
              <fill>
                <patternFill patternType="mediumGray"/>
              </fill>
            </x14:dxf>
          </x14:cfRule>
          <xm:sqref>N9</xm:sqref>
        </x14:conditionalFormatting>
        <x14:conditionalFormatting xmlns:xm="http://schemas.microsoft.com/office/excel/2006/main">
          <x14:cfRule type="expression" priority="152" id="{DACDCD0F-816E-4366-A2F7-FB2CC05C8DC7}">
            <xm:f>入力!$B$14+3&lt;27</xm:f>
            <x14:dxf>
              <fill>
                <patternFill patternType="mediumGray"/>
              </fill>
            </x14:dxf>
          </x14:cfRule>
          <xm:sqref>O9</xm:sqref>
        </x14:conditionalFormatting>
        <x14:conditionalFormatting xmlns:xm="http://schemas.microsoft.com/office/excel/2006/main">
          <x14:cfRule type="expression" priority="151" id="{3615390B-8FAC-4246-B258-9335A9EDFB87}">
            <xm:f>入力!$B$14+4&lt;27</xm:f>
            <x14:dxf>
              <fill>
                <patternFill patternType="mediumGray"/>
              </fill>
            </x14:dxf>
          </x14:cfRule>
          <xm:sqref>P9</xm:sqref>
        </x14:conditionalFormatting>
        <x14:conditionalFormatting xmlns:xm="http://schemas.microsoft.com/office/excel/2006/main">
          <x14:cfRule type="expression" priority="141" id="{BEA8F1E3-D7A2-4ABF-B309-4A3B0DD591E6}">
            <xm:f>入力!$B$14-3&lt;27</xm:f>
            <x14:dxf>
              <fill>
                <patternFill patternType="mediumGray"/>
              </fill>
            </x14:dxf>
          </x14:cfRule>
          <xm:sqref>I8</xm:sqref>
        </x14:conditionalFormatting>
        <x14:conditionalFormatting xmlns:xm="http://schemas.microsoft.com/office/excel/2006/main">
          <x14:cfRule type="expression" priority="140" id="{6C0D8794-E19F-4A7E-BFEA-524F6DEAD65F}">
            <xm:f>入力!$B$14-2&lt;27</xm:f>
            <x14:dxf>
              <fill>
                <patternFill patternType="mediumGray"/>
              </fill>
            </x14:dxf>
          </x14:cfRule>
          <xm:sqref>J8</xm:sqref>
        </x14:conditionalFormatting>
        <x14:conditionalFormatting xmlns:xm="http://schemas.microsoft.com/office/excel/2006/main">
          <x14:cfRule type="expression" priority="139" id="{81F10E8A-9E48-42AD-8BF5-1A1899EA4167}">
            <xm:f>入力!$B$14-1&lt;27</xm:f>
            <x14:dxf>
              <fill>
                <patternFill patternType="mediumGray"/>
              </fill>
            </x14:dxf>
          </x14:cfRule>
          <xm:sqref>K8</xm:sqref>
        </x14:conditionalFormatting>
        <x14:conditionalFormatting xmlns:xm="http://schemas.microsoft.com/office/excel/2006/main">
          <x14:cfRule type="expression" priority="138" id="{EDE50F89-D0BC-45B5-AD8B-94D48AFDC93A}">
            <xm:f>入力!$B$14&lt;27</xm:f>
            <x14:dxf>
              <fill>
                <patternFill patternType="mediumGray"/>
              </fill>
            </x14:dxf>
          </x14:cfRule>
          <xm:sqref>L8</xm:sqref>
        </x14:conditionalFormatting>
        <x14:conditionalFormatting xmlns:xm="http://schemas.microsoft.com/office/excel/2006/main">
          <x14:cfRule type="expression" priority="136" id="{CDC8BCE2-81DC-4F48-BDE6-507F070AF066}">
            <xm:f>入力!$B$14+1&lt;27</xm:f>
            <x14:dxf>
              <fill>
                <patternFill patternType="mediumGray"/>
              </fill>
            </x14:dxf>
          </x14:cfRule>
          <xm:sqref>M8</xm:sqref>
        </x14:conditionalFormatting>
        <x14:conditionalFormatting xmlns:xm="http://schemas.microsoft.com/office/excel/2006/main">
          <x14:cfRule type="expression" priority="135" id="{D2EFE535-C967-4865-9FAC-1A0F393A3FDF}">
            <xm:f>入力!$B$14+2&lt;27</xm:f>
            <x14:dxf>
              <fill>
                <patternFill patternType="mediumGray"/>
              </fill>
            </x14:dxf>
          </x14:cfRule>
          <xm:sqref>N8</xm:sqref>
        </x14:conditionalFormatting>
        <x14:conditionalFormatting xmlns:xm="http://schemas.microsoft.com/office/excel/2006/main">
          <x14:cfRule type="expression" priority="134" id="{1FF5871B-D847-4151-A4AA-C66F392FF1D7}">
            <xm:f>入力!$B$14+3&lt;27</xm:f>
            <x14:dxf>
              <fill>
                <patternFill patternType="mediumGray"/>
              </fill>
            </x14:dxf>
          </x14:cfRule>
          <xm:sqref>O8</xm:sqref>
        </x14:conditionalFormatting>
        <x14:conditionalFormatting xmlns:xm="http://schemas.microsoft.com/office/excel/2006/main">
          <x14:cfRule type="expression" priority="133" id="{789A9CED-1B03-4753-AC54-73C386396A07}">
            <xm:f>入力!$B$14+4&lt;27</xm:f>
            <x14:dxf>
              <fill>
                <patternFill patternType="mediumGray"/>
              </fill>
            </x14:dxf>
          </x14:cfRule>
          <xm:sqref>P8</xm:sqref>
        </x14:conditionalFormatting>
        <x14:conditionalFormatting xmlns:xm="http://schemas.microsoft.com/office/excel/2006/main">
          <x14:cfRule type="expression" priority="123" id="{A5E8E96D-CB70-41A7-8CE7-D4A2B97B3BD0}">
            <xm:f>入力!$B$14-3&lt;27</xm:f>
            <x14:dxf>
              <fill>
                <patternFill patternType="mediumGray"/>
              </fill>
            </x14:dxf>
          </x14:cfRule>
          <xm:sqref>I20</xm:sqref>
        </x14:conditionalFormatting>
        <x14:conditionalFormatting xmlns:xm="http://schemas.microsoft.com/office/excel/2006/main">
          <x14:cfRule type="expression" priority="122" id="{58215125-CA41-4466-A4F3-1D807C3172AD}">
            <xm:f>入力!$B$14-2&lt;27</xm:f>
            <x14:dxf>
              <fill>
                <patternFill patternType="mediumGray"/>
              </fill>
            </x14:dxf>
          </x14:cfRule>
          <xm:sqref>J20</xm:sqref>
        </x14:conditionalFormatting>
        <x14:conditionalFormatting xmlns:xm="http://schemas.microsoft.com/office/excel/2006/main">
          <x14:cfRule type="expression" priority="121" id="{497A216F-DE81-4CBD-B4D8-1C08E30BBD75}">
            <xm:f>入力!$B$14-1&lt;27</xm:f>
            <x14:dxf>
              <fill>
                <patternFill patternType="mediumGray"/>
              </fill>
            </x14:dxf>
          </x14:cfRule>
          <xm:sqref>K20</xm:sqref>
        </x14:conditionalFormatting>
        <x14:conditionalFormatting xmlns:xm="http://schemas.microsoft.com/office/excel/2006/main">
          <x14:cfRule type="expression" priority="120" id="{9957EC7B-50AF-4A5B-AE81-D14AC20095B6}">
            <xm:f>入力!$B$14&lt;27</xm:f>
            <x14:dxf>
              <fill>
                <patternFill patternType="mediumGray"/>
              </fill>
            </x14:dxf>
          </x14:cfRule>
          <xm:sqref>L20</xm:sqref>
        </x14:conditionalFormatting>
        <x14:conditionalFormatting xmlns:xm="http://schemas.microsoft.com/office/excel/2006/main">
          <x14:cfRule type="expression" priority="119" id="{D76483EF-86C8-4F82-88CD-C9E8EAB8E9EC}">
            <xm:f>入力!$B$14+1&lt;27</xm:f>
            <x14:dxf>
              <fill>
                <patternFill patternType="mediumGray"/>
              </fill>
            </x14:dxf>
          </x14:cfRule>
          <xm:sqref>M20</xm:sqref>
        </x14:conditionalFormatting>
        <x14:conditionalFormatting xmlns:xm="http://schemas.microsoft.com/office/excel/2006/main">
          <x14:cfRule type="expression" priority="118" id="{57FE7347-53BF-4D83-B999-3C9C8DA41D60}">
            <xm:f>入力!$B$14+2&lt;27</xm:f>
            <x14:dxf>
              <fill>
                <patternFill patternType="mediumGray"/>
              </fill>
            </x14:dxf>
          </x14:cfRule>
          <xm:sqref>N20</xm:sqref>
        </x14:conditionalFormatting>
        <x14:conditionalFormatting xmlns:xm="http://schemas.microsoft.com/office/excel/2006/main">
          <x14:cfRule type="expression" priority="117" id="{7B3BA0A8-4F81-4F67-969E-FCDA9EA57B4B}">
            <xm:f>入力!$B$14+3&lt;27</xm:f>
            <x14:dxf>
              <fill>
                <patternFill patternType="mediumGray"/>
              </fill>
            </x14:dxf>
          </x14:cfRule>
          <xm:sqref>O20</xm:sqref>
        </x14:conditionalFormatting>
        <x14:conditionalFormatting xmlns:xm="http://schemas.microsoft.com/office/excel/2006/main">
          <x14:cfRule type="expression" priority="116" id="{72C180C3-CFE3-4EB7-91C6-5206D0B68629}">
            <xm:f>入力!$B$14+4&lt;27</xm:f>
            <x14:dxf>
              <fill>
                <patternFill patternType="mediumGray"/>
              </fill>
            </x14:dxf>
          </x14:cfRule>
          <xm:sqref>P20</xm:sqref>
        </x14:conditionalFormatting>
        <x14:conditionalFormatting xmlns:xm="http://schemas.microsoft.com/office/excel/2006/main">
          <x14:cfRule type="expression" priority="115" id="{72B4D15A-8FFD-4090-B3E9-3059C0AA6945}">
            <xm:f>入力!$B$14-3&lt;27</xm:f>
            <x14:dxf>
              <fill>
                <patternFill patternType="mediumGray"/>
              </fill>
            </x14:dxf>
          </x14:cfRule>
          <xm:sqref>I21</xm:sqref>
        </x14:conditionalFormatting>
        <x14:conditionalFormatting xmlns:xm="http://schemas.microsoft.com/office/excel/2006/main">
          <x14:cfRule type="expression" priority="114" id="{42B75224-68B4-47D3-AECC-B30CD11FA108}">
            <xm:f>入力!$B$14-2&lt;27</xm:f>
            <x14:dxf>
              <fill>
                <patternFill patternType="mediumGray"/>
              </fill>
            </x14:dxf>
          </x14:cfRule>
          <xm:sqref>J21</xm:sqref>
        </x14:conditionalFormatting>
        <x14:conditionalFormatting xmlns:xm="http://schemas.microsoft.com/office/excel/2006/main">
          <x14:cfRule type="expression" priority="113" id="{AC714B3D-5744-4A16-B030-207E5FACA991}">
            <xm:f>入力!$B$14-1&lt;27</xm:f>
            <x14:dxf>
              <fill>
                <patternFill patternType="mediumGray"/>
              </fill>
            </x14:dxf>
          </x14:cfRule>
          <xm:sqref>K21</xm:sqref>
        </x14:conditionalFormatting>
        <x14:conditionalFormatting xmlns:xm="http://schemas.microsoft.com/office/excel/2006/main">
          <x14:cfRule type="expression" priority="112" id="{F4EA9645-8ED5-474D-83D8-32DE643DF9F8}">
            <xm:f>入力!$B$14&lt;27</xm:f>
            <x14:dxf>
              <fill>
                <patternFill patternType="mediumGray"/>
              </fill>
            </x14:dxf>
          </x14:cfRule>
          <xm:sqref>L21</xm:sqref>
        </x14:conditionalFormatting>
        <x14:conditionalFormatting xmlns:xm="http://schemas.microsoft.com/office/excel/2006/main">
          <x14:cfRule type="expression" priority="111" id="{4CEC80D9-5325-454B-B6D8-D480C4D65ED8}">
            <xm:f>入力!$B$14+1&lt;27</xm:f>
            <x14:dxf>
              <fill>
                <patternFill patternType="mediumGray"/>
              </fill>
            </x14:dxf>
          </x14:cfRule>
          <xm:sqref>M21</xm:sqref>
        </x14:conditionalFormatting>
        <x14:conditionalFormatting xmlns:xm="http://schemas.microsoft.com/office/excel/2006/main">
          <x14:cfRule type="expression" priority="110" id="{9FB7CF09-EA1D-4628-9946-5AAB90773B07}">
            <xm:f>入力!$B$14+2&lt;27</xm:f>
            <x14:dxf>
              <fill>
                <patternFill patternType="mediumGray"/>
              </fill>
            </x14:dxf>
          </x14:cfRule>
          <xm:sqref>N21</xm:sqref>
        </x14:conditionalFormatting>
        <x14:conditionalFormatting xmlns:xm="http://schemas.microsoft.com/office/excel/2006/main">
          <x14:cfRule type="expression" priority="109" id="{392DBD92-BDC7-4896-9EE5-5AD559A7AC5C}">
            <xm:f>入力!$B$14+3&lt;27</xm:f>
            <x14:dxf>
              <fill>
                <patternFill patternType="mediumGray"/>
              </fill>
            </x14:dxf>
          </x14:cfRule>
          <xm:sqref>O21</xm:sqref>
        </x14:conditionalFormatting>
        <x14:conditionalFormatting xmlns:xm="http://schemas.microsoft.com/office/excel/2006/main">
          <x14:cfRule type="expression" priority="108" id="{37977F77-3900-4290-9DA6-4B95A4666380}">
            <xm:f>入力!$B$14+4&lt;27</xm:f>
            <x14:dxf>
              <fill>
                <patternFill patternType="mediumGray"/>
              </fill>
            </x14:dxf>
          </x14:cfRule>
          <xm:sqref>P21</xm:sqref>
        </x14:conditionalFormatting>
        <x14:conditionalFormatting xmlns:xm="http://schemas.microsoft.com/office/excel/2006/main">
          <x14:cfRule type="expression" priority="107" id="{BC4E7B32-3712-462E-BCEF-BBD26B0991DA}">
            <xm:f>入力!$B$14-3&lt;27</xm:f>
            <x14:dxf>
              <fill>
                <patternFill patternType="mediumGray"/>
              </fill>
            </x14:dxf>
          </x14:cfRule>
          <xm:sqref>I24</xm:sqref>
        </x14:conditionalFormatting>
        <x14:conditionalFormatting xmlns:xm="http://schemas.microsoft.com/office/excel/2006/main">
          <x14:cfRule type="expression" priority="106" id="{CFF37DDE-7061-4D19-92D2-AE087B36D55B}">
            <xm:f>入力!$B$14-2&lt;27</xm:f>
            <x14:dxf>
              <fill>
                <patternFill patternType="mediumGray"/>
              </fill>
            </x14:dxf>
          </x14:cfRule>
          <xm:sqref>J24</xm:sqref>
        </x14:conditionalFormatting>
        <x14:conditionalFormatting xmlns:xm="http://schemas.microsoft.com/office/excel/2006/main">
          <x14:cfRule type="expression" priority="105" id="{90C9AA93-E7E7-491D-AA16-C563DD250B94}">
            <xm:f>入力!$B$14-1&lt;27</xm:f>
            <x14:dxf>
              <fill>
                <patternFill patternType="mediumGray"/>
              </fill>
            </x14:dxf>
          </x14:cfRule>
          <xm:sqref>K24</xm:sqref>
        </x14:conditionalFormatting>
        <x14:conditionalFormatting xmlns:xm="http://schemas.microsoft.com/office/excel/2006/main">
          <x14:cfRule type="expression" priority="104" id="{DA35BF24-8784-48B5-B9D3-491FCEDDD15E}">
            <xm:f>入力!$B$14&lt;27</xm:f>
            <x14:dxf>
              <fill>
                <patternFill patternType="mediumGray"/>
              </fill>
            </x14:dxf>
          </x14:cfRule>
          <xm:sqref>L24</xm:sqref>
        </x14:conditionalFormatting>
        <x14:conditionalFormatting xmlns:xm="http://schemas.microsoft.com/office/excel/2006/main">
          <x14:cfRule type="expression" priority="103" id="{D85B4830-3ADA-4E3D-A706-AD7E62FC48DA}">
            <xm:f>入力!$B$14+1&lt;27</xm:f>
            <x14:dxf>
              <fill>
                <patternFill patternType="mediumGray"/>
              </fill>
            </x14:dxf>
          </x14:cfRule>
          <xm:sqref>M24</xm:sqref>
        </x14:conditionalFormatting>
        <x14:conditionalFormatting xmlns:xm="http://schemas.microsoft.com/office/excel/2006/main">
          <x14:cfRule type="expression" priority="102" id="{6664AD77-CE89-45FA-973C-E0A8DA76ADBB}">
            <xm:f>入力!$B$14+2&lt;27</xm:f>
            <x14:dxf>
              <fill>
                <patternFill patternType="mediumGray"/>
              </fill>
            </x14:dxf>
          </x14:cfRule>
          <xm:sqref>N24</xm:sqref>
        </x14:conditionalFormatting>
        <x14:conditionalFormatting xmlns:xm="http://schemas.microsoft.com/office/excel/2006/main">
          <x14:cfRule type="expression" priority="101" id="{24189375-869F-4192-A4A8-8EEB0A52D565}">
            <xm:f>入力!$B$14+3&lt;27</xm:f>
            <x14:dxf>
              <fill>
                <patternFill patternType="mediumGray"/>
              </fill>
            </x14:dxf>
          </x14:cfRule>
          <xm:sqref>O24</xm:sqref>
        </x14:conditionalFormatting>
        <x14:conditionalFormatting xmlns:xm="http://schemas.microsoft.com/office/excel/2006/main">
          <x14:cfRule type="expression" priority="100" id="{FE148DCB-2E8D-40B4-9425-5E6036CE0916}">
            <xm:f>入力!$B$14+4&lt;27</xm:f>
            <x14:dxf>
              <fill>
                <patternFill patternType="mediumGray"/>
              </fill>
            </x14:dxf>
          </x14:cfRule>
          <xm:sqref>P24</xm:sqref>
        </x14:conditionalFormatting>
        <x14:conditionalFormatting xmlns:xm="http://schemas.microsoft.com/office/excel/2006/main">
          <x14:cfRule type="expression" priority="99" id="{3DDEE391-02B9-439F-99DE-9B55020A7B7B}">
            <xm:f>入力!$B$14-3&lt;27</xm:f>
            <x14:dxf>
              <fill>
                <patternFill patternType="mediumGray"/>
              </fill>
            </x14:dxf>
          </x14:cfRule>
          <xm:sqref>I29</xm:sqref>
        </x14:conditionalFormatting>
        <x14:conditionalFormatting xmlns:xm="http://schemas.microsoft.com/office/excel/2006/main">
          <x14:cfRule type="expression" priority="98" id="{BB0E3BE9-180B-4FE0-B7FB-71A53936FAB8}">
            <xm:f>入力!$B$14-2&lt;27</xm:f>
            <x14:dxf>
              <fill>
                <patternFill patternType="mediumGray"/>
              </fill>
            </x14:dxf>
          </x14:cfRule>
          <xm:sqref>J29</xm:sqref>
        </x14:conditionalFormatting>
        <x14:conditionalFormatting xmlns:xm="http://schemas.microsoft.com/office/excel/2006/main">
          <x14:cfRule type="expression" priority="97" id="{D45604DD-6508-4C8B-87F1-8249BAB33E2B}">
            <xm:f>入力!$B$14-1&lt;27</xm:f>
            <x14:dxf>
              <fill>
                <patternFill patternType="mediumGray"/>
              </fill>
            </x14:dxf>
          </x14:cfRule>
          <xm:sqref>K29</xm:sqref>
        </x14:conditionalFormatting>
        <x14:conditionalFormatting xmlns:xm="http://schemas.microsoft.com/office/excel/2006/main">
          <x14:cfRule type="expression" priority="96" id="{F7CC9A46-23CC-45A4-86FB-E191B650C1AF}">
            <xm:f>入力!$B$14&lt;27</xm:f>
            <x14:dxf>
              <fill>
                <patternFill patternType="mediumGray"/>
              </fill>
            </x14:dxf>
          </x14:cfRule>
          <xm:sqref>L29</xm:sqref>
        </x14:conditionalFormatting>
        <x14:conditionalFormatting xmlns:xm="http://schemas.microsoft.com/office/excel/2006/main">
          <x14:cfRule type="expression" priority="95" id="{F7848D6B-97C3-4B28-98FE-B6E6DC4CA7C1}">
            <xm:f>入力!$B$14+1&lt;27</xm:f>
            <x14:dxf>
              <fill>
                <patternFill patternType="mediumGray"/>
              </fill>
            </x14:dxf>
          </x14:cfRule>
          <xm:sqref>M29</xm:sqref>
        </x14:conditionalFormatting>
        <x14:conditionalFormatting xmlns:xm="http://schemas.microsoft.com/office/excel/2006/main">
          <x14:cfRule type="expression" priority="94" id="{4C059EC5-F0C8-4E54-A227-8883B475494C}">
            <xm:f>入力!$B$14+2&lt;27</xm:f>
            <x14:dxf>
              <fill>
                <patternFill patternType="mediumGray"/>
              </fill>
            </x14:dxf>
          </x14:cfRule>
          <xm:sqref>N29</xm:sqref>
        </x14:conditionalFormatting>
        <x14:conditionalFormatting xmlns:xm="http://schemas.microsoft.com/office/excel/2006/main">
          <x14:cfRule type="expression" priority="93" id="{AA5545D0-1680-4637-9E57-DD4389C1EE3C}">
            <xm:f>入力!$B$14+3&lt;27</xm:f>
            <x14:dxf>
              <fill>
                <patternFill patternType="mediumGray"/>
              </fill>
            </x14:dxf>
          </x14:cfRule>
          <xm:sqref>O29</xm:sqref>
        </x14:conditionalFormatting>
        <x14:conditionalFormatting xmlns:xm="http://schemas.microsoft.com/office/excel/2006/main">
          <x14:cfRule type="expression" priority="92" id="{814E2CF8-B32D-4FD7-BB94-FD4B740E2756}">
            <xm:f>入力!$B$14+4&lt;27</xm:f>
            <x14:dxf>
              <fill>
                <patternFill patternType="mediumGray"/>
              </fill>
            </x14:dxf>
          </x14:cfRule>
          <xm:sqref>P29</xm:sqref>
        </x14:conditionalFormatting>
        <x14:conditionalFormatting xmlns:xm="http://schemas.microsoft.com/office/excel/2006/main">
          <x14:cfRule type="expression" priority="91" id="{FA159F00-CEDD-466A-9661-3DC7086AA3BE}">
            <xm:f>入力!$B$14-3&lt;27</xm:f>
            <x14:dxf>
              <fill>
                <patternFill patternType="mediumGray"/>
              </fill>
            </x14:dxf>
          </x14:cfRule>
          <xm:sqref>I32</xm:sqref>
        </x14:conditionalFormatting>
        <x14:conditionalFormatting xmlns:xm="http://schemas.microsoft.com/office/excel/2006/main">
          <x14:cfRule type="expression" priority="90" id="{610614D1-B91C-44D7-9AEA-C5B6A0F01D40}">
            <xm:f>入力!$B$14-2&lt;27</xm:f>
            <x14:dxf>
              <fill>
                <patternFill patternType="mediumGray"/>
              </fill>
            </x14:dxf>
          </x14:cfRule>
          <xm:sqref>J32</xm:sqref>
        </x14:conditionalFormatting>
        <x14:conditionalFormatting xmlns:xm="http://schemas.microsoft.com/office/excel/2006/main">
          <x14:cfRule type="expression" priority="89" id="{8664B895-8352-4CEE-BF3D-277130419E8E}">
            <xm:f>入力!$B$14-1&lt;27</xm:f>
            <x14:dxf>
              <fill>
                <patternFill patternType="mediumGray"/>
              </fill>
            </x14:dxf>
          </x14:cfRule>
          <xm:sqref>K32</xm:sqref>
        </x14:conditionalFormatting>
        <x14:conditionalFormatting xmlns:xm="http://schemas.microsoft.com/office/excel/2006/main">
          <x14:cfRule type="expression" priority="88" id="{4D64E757-015F-442F-BD74-53EC833B7E75}">
            <xm:f>入力!$B$14&lt;27</xm:f>
            <x14:dxf>
              <fill>
                <patternFill patternType="mediumGray"/>
              </fill>
            </x14:dxf>
          </x14:cfRule>
          <xm:sqref>L32</xm:sqref>
        </x14:conditionalFormatting>
        <x14:conditionalFormatting xmlns:xm="http://schemas.microsoft.com/office/excel/2006/main">
          <x14:cfRule type="expression" priority="87" id="{2BFF71AD-1EC3-42D8-9AD2-4DE75C0470E3}">
            <xm:f>入力!$B$14+1&lt;27</xm:f>
            <x14:dxf>
              <fill>
                <patternFill patternType="mediumGray"/>
              </fill>
            </x14:dxf>
          </x14:cfRule>
          <xm:sqref>M32</xm:sqref>
        </x14:conditionalFormatting>
        <x14:conditionalFormatting xmlns:xm="http://schemas.microsoft.com/office/excel/2006/main">
          <x14:cfRule type="expression" priority="86" id="{CCD26BE6-E6AD-4BAA-96B9-9834D0B86693}">
            <xm:f>入力!$B$14+2&lt;27</xm:f>
            <x14:dxf>
              <fill>
                <patternFill patternType="mediumGray"/>
              </fill>
            </x14:dxf>
          </x14:cfRule>
          <xm:sqref>N32</xm:sqref>
        </x14:conditionalFormatting>
        <x14:conditionalFormatting xmlns:xm="http://schemas.microsoft.com/office/excel/2006/main">
          <x14:cfRule type="expression" priority="85" id="{0795DFA5-CF01-4706-850F-999B27BBA7F4}">
            <xm:f>入力!$B$14+3&lt;27</xm:f>
            <x14:dxf>
              <fill>
                <patternFill patternType="mediumGray"/>
              </fill>
            </x14:dxf>
          </x14:cfRule>
          <xm:sqref>O32</xm:sqref>
        </x14:conditionalFormatting>
        <x14:conditionalFormatting xmlns:xm="http://schemas.microsoft.com/office/excel/2006/main">
          <x14:cfRule type="expression" priority="84" id="{0E7FA3F7-D1D2-42A6-B6A5-183332ACA36C}">
            <xm:f>入力!$B$14+4&lt;27</xm:f>
            <x14:dxf>
              <fill>
                <patternFill patternType="mediumGray"/>
              </fill>
            </x14:dxf>
          </x14:cfRule>
          <xm:sqref>P32</xm:sqref>
        </x14:conditionalFormatting>
        <x14:conditionalFormatting xmlns:xm="http://schemas.microsoft.com/office/excel/2006/main">
          <x14:cfRule type="expression" priority="4" id="{8AF80002-E486-4F9B-9A78-5AB593ACAD79}">
            <xm:f>入力!$B$14+4&lt;27</xm:f>
            <x14:dxf>
              <fill>
                <patternFill patternType="mediumGray"/>
              </fill>
            </x14:dxf>
          </x14:cfRule>
          <xm:sqref>Q21</xm:sqref>
        </x14:conditionalFormatting>
        <x14:conditionalFormatting xmlns:xm="http://schemas.microsoft.com/office/excel/2006/main">
          <x14:cfRule type="expression" priority="3" id="{CD5622C1-AA06-4655-A05A-9DB0B0547FD2}">
            <xm:f>入力!$B$14+4&lt;27</xm:f>
            <x14:dxf>
              <fill>
                <patternFill patternType="mediumGray"/>
              </fill>
            </x14:dxf>
          </x14:cfRule>
          <xm:sqref>Q24</xm:sqref>
        </x14:conditionalFormatting>
        <x14:conditionalFormatting xmlns:xm="http://schemas.microsoft.com/office/excel/2006/main">
          <x14:cfRule type="expression" priority="2" id="{70A5F559-7BE3-4907-8888-B19080CD97AA}">
            <xm:f>入力!$B$14+4&lt;27</xm:f>
            <x14:dxf>
              <fill>
                <patternFill patternType="mediumGray"/>
              </fill>
            </x14:dxf>
          </x14:cfRule>
          <xm:sqref>Q29</xm:sqref>
        </x14:conditionalFormatting>
        <x14:conditionalFormatting xmlns:xm="http://schemas.microsoft.com/office/excel/2006/main">
          <x14:cfRule type="expression" priority="1" id="{8D06A70E-998D-4366-A553-4A15363191C0}">
            <xm:f>入力!$B$14+4&lt;27</xm:f>
            <x14:dxf>
              <fill>
                <patternFill patternType="mediumGray"/>
              </fill>
            </x14:dxf>
          </x14:cfRule>
          <xm:sqref>Q32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S48"/>
  <sheetViews>
    <sheetView zoomScale="85" zoomScaleNormal="85" zoomScaleSheetLayoutView="85" workbookViewId="0">
      <pane xSplit="8" ySplit="4" topLeftCell="I5" activePane="bottomRight" state="frozen"/>
      <selection activeCell="H18" sqref="H18"/>
      <selection pane="topRight" activeCell="H18" sqref="H18"/>
      <selection pane="bottomLeft" activeCell="H18" sqref="H18"/>
      <selection pane="bottomRight"/>
    </sheetView>
  </sheetViews>
  <sheetFormatPr defaultColWidth="5.21875" defaultRowHeight="13.2" x14ac:dyDescent="0.2"/>
  <cols>
    <col min="1" max="1" width="1.44140625" style="139" customWidth="1"/>
    <col min="2" max="3" width="4.21875" style="215" customWidth="1"/>
    <col min="4" max="5" width="1.6640625" style="215" customWidth="1"/>
    <col min="6" max="6" width="4.33203125" style="215" customWidth="1"/>
    <col min="7" max="7" width="1.6640625" style="215" customWidth="1"/>
    <col min="8" max="8" width="35.77734375" style="215" customWidth="1"/>
    <col min="9" max="16" width="11.88671875" style="138" customWidth="1"/>
    <col min="17" max="17" width="11.88671875" style="215" customWidth="1"/>
    <col min="18" max="16384" width="5.21875" style="215"/>
  </cols>
  <sheetData>
    <row r="1" spans="1:18" ht="76.5" customHeight="1" x14ac:dyDescent="0.2">
      <c r="A1" s="17" t="s">
        <v>408</v>
      </c>
      <c r="B1" s="260"/>
      <c r="C1" s="260"/>
      <c r="D1" s="260"/>
      <c r="E1" s="260"/>
      <c r="F1" s="260"/>
      <c r="G1" s="260"/>
      <c r="H1" s="260"/>
      <c r="I1" s="17" t="str">
        <f>CONCATENATE("（","法人番号：",入力!B2,"　　","法人名：",入力!B5,"）")</f>
        <v>（法人番号：131999　　法人名：東西大学）</v>
      </c>
      <c r="J1" s="126"/>
      <c r="K1" s="126"/>
      <c r="L1" s="126"/>
      <c r="M1" s="126"/>
      <c r="N1" s="126"/>
      <c r="O1" s="126"/>
      <c r="P1" s="879" t="s">
        <v>387</v>
      </c>
      <c r="Q1" s="974"/>
    </row>
    <row r="2" spans="1:18" ht="24.75" customHeight="1" x14ac:dyDescent="0.2">
      <c r="A2" s="17"/>
      <c r="B2" s="260"/>
      <c r="C2" s="260"/>
      <c r="D2" s="260"/>
      <c r="E2" s="260"/>
      <c r="F2" s="260"/>
      <c r="G2" s="260"/>
      <c r="H2" s="260"/>
      <c r="I2" s="17"/>
      <c r="J2" s="126"/>
      <c r="K2" s="126"/>
      <c r="L2" s="126"/>
      <c r="M2" s="126"/>
      <c r="N2" s="126"/>
      <c r="O2" s="126"/>
      <c r="P2" s="265"/>
      <c r="Q2" s="266" t="str">
        <f>様式1!K2</f>
        <v>新規</v>
      </c>
    </row>
    <row r="3" spans="1:18" ht="25.5" customHeight="1" thickBot="1" x14ac:dyDescent="0.25">
      <c r="A3" s="17"/>
      <c r="B3" s="975"/>
      <c r="C3" s="976"/>
      <c r="D3" s="976"/>
      <c r="E3" s="976"/>
      <c r="F3" s="976"/>
      <c r="G3" s="976"/>
      <c r="H3" s="976"/>
      <c r="I3" s="78"/>
      <c r="J3" s="126"/>
      <c r="K3" s="126"/>
      <c r="L3" s="126"/>
      <c r="M3" s="126"/>
      <c r="N3" s="126"/>
      <c r="O3" s="126"/>
      <c r="P3" s="142"/>
      <c r="Q3" s="260"/>
    </row>
    <row r="4" spans="1:18" s="128" customFormat="1" ht="32.25" customHeight="1" thickTop="1" x14ac:dyDescent="0.2">
      <c r="A4" s="127"/>
      <c r="B4" s="242"/>
      <c r="C4" s="977" t="s">
        <v>363</v>
      </c>
      <c r="D4" s="977"/>
      <c r="E4" s="977"/>
      <c r="F4" s="977"/>
      <c r="G4" s="977"/>
      <c r="H4" s="978"/>
      <c r="I4" s="685" t="str">
        <f>VLOOKUP(入力!$I$14-3,和暦表示!$B$10:$D$35,3,FALSE)</f>
        <v>5年度実績</v>
      </c>
      <c r="J4" s="671" t="str">
        <f>VLOOKUP(入力!$I$14-2,和暦表示!$B$10:$D$35,3,FALSE)</f>
        <v>6年度実績</v>
      </c>
      <c r="K4" s="686" t="str">
        <f>VLOOKUP(入力!$I$14-1,和暦表示!$B$10:$D$35,3,FALSE)</f>
        <v>7年度実績</v>
      </c>
      <c r="L4" s="673" t="str">
        <f>VLOOKUP(入力!$I$14,和暦表示!$B$10:$D$35,3,FALSE)</f>
        <v>8年度見込</v>
      </c>
      <c r="M4" s="674" t="str">
        <f>VLOOKUP(入力!$I$14+1,和暦表示!$B$10:$D$35,3,FALSE)</f>
        <v>9年度見込</v>
      </c>
      <c r="N4" s="674" t="str">
        <f>VLOOKUP(入力!$I$14+2,和暦表示!$B$10:$D$35,3,FALSE)</f>
        <v>10年度見込</v>
      </c>
      <c r="O4" s="674" t="str">
        <f>VLOOKUP(入力!$I$14+3,和暦表示!$B$10:$D$35,3,FALSE)</f>
        <v>11年度見込</v>
      </c>
      <c r="P4" s="675" t="str">
        <f>VLOOKUP(入力!$I$14+4,和暦表示!$B$10:$D$35,3,FALSE)</f>
        <v>12年度見込</v>
      </c>
      <c r="Q4" s="684" t="str">
        <f>"当初最終年度
"&amp;VLOOKUP(入力!$I$8+4,和暦表示!$B$10:$D$35,3,FALSE)</f>
        <v>当初最終年度
12年度見込</v>
      </c>
    </row>
    <row r="5" spans="1:18" ht="26.25" customHeight="1" x14ac:dyDescent="0.2">
      <c r="A5" s="131"/>
      <c r="B5" s="979" t="s">
        <v>333</v>
      </c>
      <c r="C5" s="982" t="s">
        <v>334</v>
      </c>
      <c r="D5" s="133"/>
      <c r="E5" s="216"/>
      <c r="F5" s="983" t="s">
        <v>77</v>
      </c>
      <c r="G5" s="983"/>
      <c r="H5" s="983"/>
      <c r="I5" s="383"/>
      <c r="J5" s="384"/>
      <c r="K5" s="385"/>
      <c r="L5" s="446">
        <f>様式5!H4</f>
        <v>0</v>
      </c>
      <c r="M5" s="384">
        <f>様式5!I4</f>
        <v>0</v>
      </c>
      <c r="N5" s="384">
        <f>様式5!J4</f>
        <v>0</v>
      </c>
      <c r="O5" s="384">
        <f>様式5!K4</f>
        <v>0</v>
      </c>
      <c r="P5" s="447">
        <f>様式5!L4</f>
        <v>0</v>
      </c>
      <c r="Q5" s="387">
        <f>様式5!M4</f>
        <v>0</v>
      </c>
      <c r="R5" s="599"/>
    </row>
    <row r="6" spans="1:18" ht="26.25" customHeight="1" x14ac:dyDescent="0.2">
      <c r="A6" s="131"/>
      <c r="B6" s="980"/>
      <c r="C6" s="925"/>
      <c r="D6" s="132"/>
      <c r="E6" s="260"/>
      <c r="F6" s="984" t="s">
        <v>78</v>
      </c>
      <c r="G6" s="984"/>
      <c r="H6" s="984"/>
      <c r="I6" s="428"/>
      <c r="J6" s="429"/>
      <c r="K6" s="430"/>
      <c r="L6" s="374">
        <f>様式5!H7</f>
        <v>0</v>
      </c>
      <c r="M6" s="429">
        <f>様式5!I7</f>
        <v>0</v>
      </c>
      <c r="N6" s="429">
        <f>様式5!J7</f>
        <v>0</v>
      </c>
      <c r="O6" s="429">
        <f>様式5!K7</f>
        <v>0</v>
      </c>
      <c r="P6" s="448">
        <f>様式5!L7</f>
        <v>0</v>
      </c>
      <c r="Q6" s="449">
        <f>様式5!M7</f>
        <v>0</v>
      </c>
      <c r="R6" s="599"/>
    </row>
    <row r="7" spans="1:18" ht="26.25" customHeight="1" x14ac:dyDescent="0.2">
      <c r="A7" s="131"/>
      <c r="B7" s="980"/>
      <c r="C7" s="925"/>
      <c r="D7" s="321"/>
      <c r="E7" s="322"/>
      <c r="F7" s="1038" t="s">
        <v>79</v>
      </c>
      <c r="G7" s="1038"/>
      <c r="H7" s="1038"/>
      <c r="I7" s="411"/>
      <c r="J7" s="409"/>
      <c r="K7" s="476"/>
      <c r="L7" s="409"/>
      <c r="M7" s="409"/>
      <c r="N7" s="409"/>
      <c r="O7" s="409"/>
      <c r="P7" s="477"/>
      <c r="Q7" s="635"/>
      <c r="R7" s="599"/>
    </row>
    <row r="8" spans="1:18" ht="26.25" customHeight="1" x14ac:dyDescent="0.2">
      <c r="A8" s="131"/>
      <c r="B8" s="980"/>
      <c r="C8" s="925"/>
      <c r="D8" s="321"/>
      <c r="E8" s="322"/>
      <c r="F8" s="1039" t="s">
        <v>406</v>
      </c>
      <c r="G8" s="1038"/>
      <c r="H8" s="1038"/>
      <c r="I8" s="411"/>
      <c r="J8" s="409"/>
      <c r="K8" s="476"/>
      <c r="L8" s="411"/>
      <c r="M8" s="409"/>
      <c r="N8" s="409"/>
      <c r="O8" s="409"/>
      <c r="P8" s="477"/>
      <c r="Q8" s="635"/>
      <c r="R8" s="599"/>
    </row>
    <row r="9" spans="1:18" ht="26.25" customHeight="1" x14ac:dyDescent="0.2">
      <c r="A9" s="131"/>
      <c r="B9" s="980"/>
      <c r="C9" s="925"/>
      <c r="D9" s="321"/>
      <c r="E9" s="322"/>
      <c r="F9" s="1038" t="s">
        <v>335</v>
      </c>
      <c r="G9" s="1038"/>
      <c r="H9" s="1038"/>
      <c r="I9" s="411"/>
      <c r="J9" s="409"/>
      <c r="K9" s="477"/>
      <c r="L9" s="411"/>
      <c r="M9" s="409"/>
      <c r="N9" s="409"/>
      <c r="O9" s="409"/>
      <c r="P9" s="477"/>
      <c r="Q9" s="635"/>
      <c r="R9" s="599"/>
    </row>
    <row r="10" spans="1:18" ht="26.25" customHeight="1" x14ac:dyDescent="0.2">
      <c r="A10" s="131"/>
      <c r="B10" s="980"/>
      <c r="C10" s="925"/>
      <c r="D10" s="597"/>
      <c r="E10" s="598"/>
      <c r="F10" s="1040" t="s">
        <v>81</v>
      </c>
      <c r="G10" s="1040"/>
      <c r="H10" s="1040"/>
      <c r="I10" s="424"/>
      <c r="J10" s="425"/>
      <c r="K10" s="426"/>
      <c r="L10" s="479"/>
      <c r="M10" s="425"/>
      <c r="N10" s="425"/>
      <c r="O10" s="425"/>
      <c r="P10" s="478"/>
      <c r="Q10" s="636"/>
      <c r="R10" s="599"/>
    </row>
    <row r="11" spans="1:18" ht="26.25" customHeight="1" x14ac:dyDescent="0.2">
      <c r="A11" s="131"/>
      <c r="B11" s="980"/>
      <c r="C11" s="926"/>
      <c r="D11" s="987" t="s">
        <v>336</v>
      </c>
      <c r="E11" s="988"/>
      <c r="F11" s="988"/>
      <c r="G11" s="988"/>
      <c r="H11" s="989"/>
      <c r="I11" s="439">
        <f>IF(入力!$I$14-3&lt;27,I5+I6+I7+I10,I5+I6+I7+I8+I9+I10)</f>
        <v>0</v>
      </c>
      <c r="J11" s="440">
        <f>IF(入力!$I$14-2&lt;27,J5+J6+J7+#REF!+#REF!+#REF!+J10,J5+J6+J7+J8+J9+J10)</f>
        <v>0</v>
      </c>
      <c r="K11" s="441">
        <f>IF(入力!$I$14-1&lt;27,K5+K6+K7+#REF!+#REF!+#REF!+K10,K5+K6+K7+K8+K9+K10)</f>
        <v>0</v>
      </c>
      <c r="L11" s="439">
        <f>IF(入力!$I$14&lt;27,L5+L6+L7+#REF!+#REF!+#REF!+L10,L5+L6+L7+L8+L9+L10)</f>
        <v>0</v>
      </c>
      <c r="M11" s="440">
        <f>IF(入力!$I$14+1&lt;27,M5+M6+M7+#REF!+#REF!+#REF!+M10,M5+M6+M7+M8+M9+M10)</f>
        <v>0</v>
      </c>
      <c r="N11" s="440">
        <f>IF(入力!$I$14+2&lt;27,N5+N6+N7+#REF!+#REF!+#REF!+N10,N5+N6+N7+N8+N9+N10)</f>
        <v>0</v>
      </c>
      <c r="O11" s="440">
        <f>IF(入力!$I$14+3&lt;27,O5+O6+O7+#REF!+#REF!+#REF!+O10,O5+O6+O7+O8+O9+O10)</f>
        <v>0</v>
      </c>
      <c r="P11" s="442">
        <f>IF(入力!$I$14+4&lt;27,P5+P6+P7+#REF!+#REF!+#REF!+P10,P5+P6+P7+P8+P9+P10)</f>
        <v>0</v>
      </c>
      <c r="Q11" s="431">
        <f>SUM(Q5:Q10)</f>
        <v>0</v>
      </c>
      <c r="R11" s="599"/>
    </row>
    <row r="12" spans="1:18" ht="26.25" customHeight="1" x14ac:dyDescent="0.2">
      <c r="A12" s="131"/>
      <c r="B12" s="980"/>
      <c r="C12" s="990" t="s">
        <v>337</v>
      </c>
      <c r="D12" s="133"/>
      <c r="E12" s="983" t="s">
        <v>82</v>
      </c>
      <c r="F12" s="991"/>
      <c r="G12" s="991"/>
      <c r="H12" s="991"/>
      <c r="I12" s="383"/>
      <c r="J12" s="384"/>
      <c r="K12" s="385"/>
      <c r="L12" s="446">
        <f>様式5!H32-様式5!H38+様式9!L43+様式9!L44</f>
        <v>0</v>
      </c>
      <c r="M12" s="384">
        <f>様式5!I32-様式5!I38+様式9!M43+様式9!M44</f>
        <v>0</v>
      </c>
      <c r="N12" s="384">
        <f>様式5!J32-様式5!J38+様式9!N43+様式9!N44</f>
        <v>0</v>
      </c>
      <c r="O12" s="384">
        <f>様式5!K32-様式5!K38+様式9!O43+様式9!O44</f>
        <v>0</v>
      </c>
      <c r="P12" s="447">
        <f>様式5!L32-様式5!L38+様式9!P43+様式9!P44</f>
        <v>0</v>
      </c>
      <c r="Q12" s="387">
        <f>様式5!M32-様式5!M38+様式9!Q43+様式9!Q44</f>
        <v>0</v>
      </c>
      <c r="R12" s="599"/>
    </row>
    <row r="13" spans="1:18" ht="26.25" customHeight="1" x14ac:dyDescent="0.2">
      <c r="A13" s="131"/>
      <c r="B13" s="980"/>
      <c r="C13" s="892"/>
      <c r="D13" s="132"/>
      <c r="E13" s="984" t="s">
        <v>83</v>
      </c>
      <c r="F13" s="1000"/>
      <c r="G13" s="1000"/>
      <c r="H13" s="1000"/>
      <c r="I13" s="428"/>
      <c r="J13" s="429"/>
      <c r="K13" s="430"/>
      <c r="L13" s="374">
        <f>様式5!H39+様式9!L45</f>
        <v>0</v>
      </c>
      <c r="M13" s="429">
        <f>様式5!I39+様式9!M45</f>
        <v>0</v>
      </c>
      <c r="N13" s="429">
        <f>様式5!J39+様式9!N45</f>
        <v>0</v>
      </c>
      <c r="O13" s="429">
        <f>様式5!K39+様式9!O45</f>
        <v>0</v>
      </c>
      <c r="P13" s="448">
        <f>様式5!L39+様式9!P45</f>
        <v>0</v>
      </c>
      <c r="Q13" s="449">
        <f>様式5!M39+様式9!Q45</f>
        <v>0</v>
      </c>
      <c r="R13" s="599"/>
    </row>
    <row r="14" spans="1:18" ht="26.25" customHeight="1" x14ac:dyDescent="0.2">
      <c r="A14" s="131"/>
      <c r="B14" s="980"/>
      <c r="C14" s="892"/>
      <c r="D14" s="132"/>
      <c r="E14" s="260"/>
      <c r="F14" s="985" t="s">
        <v>372</v>
      </c>
      <c r="G14" s="984"/>
      <c r="H14" s="984"/>
      <c r="I14" s="428"/>
      <c r="J14" s="429"/>
      <c r="K14" s="430"/>
      <c r="L14" s="374">
        <f>L45</f>
        <v>0</v>
      </c>
      <c r="M14" s="429">
        <f t="shared" ref="M14:P14" si="0">M45</f>
        <v>0</v>
      </c>
      <c r="N14" s="429">
        <f t="shared" si="0"/>
        <v>0</v>
      </c>
      <c r="O14" s="429">
        <f t="shared" si="0"/>
        <v>0</v>
      </c>
      <c r="P14" s="448">
        <f t="shared" si="0"/>
        <v>0</v>
      </c>
      <c r="Q14" s="449">
        <f>Q45</f>
        <v>0</v>
      </c>
      <c r="R14" s="599"/>
    </row>
    <row r="15" spans="1:18" ht="26.25" customHeight="1" x14ac:dyDescent="0.2">
      <c r="A15" s="131"/>
      <c r="B15" s="980"/>
      <c r="C15" s="892"/>
      <c r="D15" s="321"/>
      <c r="E15" s="1038" t="s">
        <v>84</v>
      </c>
      <c r="F15" s="1041"/>
      <c r="G15" s="1041"/>
      <c r="H15" s="1041"/>
      <c r="I15" s="411"/>
      <c r="J15" s="409"/>
      <c r="K15" s="476"/>
      <c r="L15" s="410"/>
      <c r="M15" s="409"/>
      <c r="N15" s="409"/>
      <c r="O15" s="409"/>
      <c r="P15" s="477"/>
      <c r="Q15" s="635"/>
      <c r="R15" s="599"/>
    </row>
    <row r="16" spans="1:18" ht="26.25" customHeight="1" x14ac:dyDescent="0.2">
      <c r="A16" s="131"/>
      <c r="B16" s="980"/>
      <c r="C16" s="892"/>
      <c r="D16" s="132"/>
      <c r="E16" s="260"/>
      <c r="F16" s="985" t="s">
        <v>372</v>
      </c>
      <c r="G16" s="984"/>
      <c r="H16" s="984"/>
      <c r="I16" s="428"/>
      <c r="J16" s="429"/>
      <c r="K16" s="430"/>
      <c r="L16" s="374">
        <f>L46</f>
        <v>0</v>
      </c>
      <c r="M16" s="429">
        <f t="shared" ref="M16:P16" si="1">M46</f>
        <v>0</v>
      </c>
      <c r="N16" s="429">
        <f t="shared" si="1"/>
        <v>0</v>
      </c>
      <c r="O16" s="429">
        <f t="shared" si="1"/>
        <v>0</v>
      </c>
      <c r="P16" s="448">
        <f t="shared" si="1"/>
        <v>0</v>
      </c>
      <c r="Q16" s="449">
        <f>Q46</f>
        <v>0</v>
      </c>
      <c r="R16" s="599"/>
    </row>
    <row r="17" spans="1:18" ht="26.25" customHeight="1" x14ac:dyDescent="0.2">
      <c r="A17" s="131"/>
      <c r="B17" s="980"/>
      <c r="C17" s="892"/>
      <c r="D17" s="132"/>
      <c r="E17" s="984" t="s">
        <v>338</v>
      </c>
      <c r="F17" s="1000"/>
      <c r="G17" s="1000"/>
      <c r="H17" s="1000"/>
      <c r="I17" s="420"/>
      <c r="J17" s="421"/>
      <c r="K17" s="422"/>
      <c r="L17" s="374">
        <f>L48</f>
        <v>0</v>
      </c>
      <c r="M17" s="429">
        <f t="shared" ref="M17:P17" si="2">M48</f>
        <v>0</v>
      </c>
      <c r="N17" s="429">
        <f t="shared" si="2"/>
        <v>0</v>
      </c>
      <c r="O17" s="429">
        <f t="shared" si="2"/>
        <v>0</v>
      </c>
      <c r="P17" s="448">
        <f t="shared" si="2"/>
        <v>0</v>
      </c>
      <c r="Q17" s="404">
        <f>Q48</f>
        <v>0</v>
      </c>
      <c r="R17" s="599"/>
    </row>
    <row r="18" spans="1:18" ht="26.25" customHeight="1" x14ac:dyDescent="0.2">
      <c r="A18" s="131"/>
      <c r="B18" s="980"/>
      <c r="C18" s="893"/>
      <c r="D18" s="243"/>
      <c r="E18" s="992" t="s">
        <v>339</v>
      </c>
      <c r="F18" s="992"/>
      <c r="G18" s="992"/>
      <c r="H18" s="993"/>
      <c r="I18" s="439">
        <f>I12+I13+I15+I17</f>
        <v>0</v>
      </c>
      <c r="J18" s="453">
        <f>J12+J13+J15+J17</f>
        <v>0</v>
      </c>
      <c r="K18" s="441">
        <f>K12+K13+K15+K17</f>
        <v>0</v>
      </c>
      <c r="L18" s="452">
        <f>L12+L13+L15+L17</f>
        <v>0</v>
      </c>
      <c r="M18" s="440">
        <f t="shared" ref="M18:P18" si="3">M12+M13+M15+M17</f>
        <v>0</v>
      </c>
      <c r="N18" s="440">
        <f t="shared" si="3"/>
        <v>0</v>
      </c>
      <c r="O18" s="440">
        <f t="shared" si="3"/>
        <v>0</v>
      </c>
      <c r="P18" s="442">
        <f t="shared" si="3"/>
        <v>0</v>
      </c>
      <c r="Q18" s="431">
        <f>Q12+Q13+Q15+Q17</f>
        <v>0</v>
      </c>
      <c r="R18" s="599"/>
    </row>
    <row r="19" spans="1:18" s="130" customFormat="1" ht="26.25" customHeight="1" thickBot="1" x14ac:dyDescent="0.25">
      <c r="A19" s="129"/>
      <c r="B19" s="981"/>
      <c r="C19" s="244"/>
      <c r="D19" s="997" t="s">
        <v>340</v>
      </c>
      <c r="E19" s="997"/>
      <c r="F19" s="997"/>
      <c r="G19" s="997"/>
      <c r="H19" s="997"/>
      <c r="I19" s="379">
        <f t="shared" ref="I19:K19" si="4">I11-I18</f>
        <v>0</v>
      </c>
      <c r="J19" s="413">
        <f t="shared" si="4"/>
        <v>0</v>
      </c>
      <c r="K19" s="434">
        <f t="shared" si="4"/>
        <v>0</v>
      </c>
      <c r="L19" s="446">
        <f>L11-L18</f>
        <v>0</v>
      </c>
      <c r="M19" s="384">
        <f t="shared" ref="M19:P19" si="5">M11-M18</f>
        <v>0</v>
      </c>
      <c r="N19" s="384">
        <f t="shared" si="5"/>
        <v>0</v>
      </c>
      <c r="O19" s="384">
        <f t="shared" si="5"/>
        <v>0</v>
      </c>
      <c r="P19" s="447">
        <f t="shared" si="5"/>
        <v>0</v>
      </c>
      <c r="Q19" s="415">
        <f>Q11-Q18</f>
        <v>0</v>
      </c>
    </row>
    <row r="20" spans="1:18" s="130" customFormat="1" ht="26.25" customHeight="1" x14ac:dyDescent="0.2">
      <c r="A20" s="129"/>
      <c r="B20" s="1001" t="s">
        <v>341</v>
      </c>
      <c r="C20" s="1004" t="s">
        <v>334</v>
      </c>
      <c r="D20" s="261"/>
      <c r="E20" s="1007" t="s">
        <v>342</v>
      </c>
      <c r="F20" s="1008"/>
      <c r="G20" s="1008"/>
      <c r="H20" s="1009"/>
      <c r="I20" s="435"/>
      <c r="J20" s="436"/>
      <c r="K20" s="468"/>
      <c r="L20" s="435">
        <f>IF(入力!$I$14&gt;=27,様式5!H23,0)</f>
        <v>0</v>
      </c>
      <c r="M20" s="436">
        <f>IF(入力!$I$14+1&gt;=27,様式5!I23,0)</f>
        <v>0</v>
      </c>
      <c r="N20" s="436">
        <f>IF(入力!$I$14+2&gt;=27,様式5!J23,0)</f>
        <v>0</v>
      </c>
      <c r="O20" s="436">
        <f>IF(入力!$I$14+3&gt;=27,様式5!K23,0)</f>
        <v>0</v>
      </c>
      <c r="P20" s="436">
        <f>IF(入力!$I$14+4&gt;=27,様式5!L23,0)</f>
        <v>0</v>
      </c>
      <c r="Q20" s="461">
        <f>様式5!M23</f>
        <v>0</v>
      </c>
    </row>
    <row r="21" spans="1:18" s="130" customFormat="1" ht="26.25" customHeight="1" x14ac:dyDescent="0.2">
      <c r="A21" s="129"/>
      <c r="B21" s="1002"/>
      <c r="C21" s="1005"/>
      <c r="D21" s="320"/>
      <c r="E21" s="1010" t="s">
        <v>343</v>
      </c>
      <c r="F21" s="1011"/>
      <c r="G21" s="1011"/>
      <c r="H21" s="1012"/>
      <c r="I21" s="424"/>
      <c r="J21" s="425"/>
      <c r="K21" s="478"/>
      <c r="L21" s="424"/>
      <c r="M21" s="425"/>
      <c r="N21" s="425"/>
      <c r="O21" s="425"/>
      <c r="P21" s="427"/>
      <c r="Q21" s="427"/>
    </row>
    <row r="22" spans="1:18" s="130" customFormat="1" ht="26.25" customHeight="1" x14ac:dyDescent="0.2">
      <c r="A22" s="129"/>
      <c r="B22" s="1002"/>
      <c r="C22" s="1006"/>
      <c r="D22" s="246"/>
      <c r="E22" s="1013" t="s">
        <v>344</v>
      </c>
      <c r="F22" s="1014"/>
      <c r="G22" s="1014"/>
      <c r="H22" s="1015"/>
      <c r="I22" s="395">
        <f>IF(入力!$I$14-3&gt;=27,I20+I21,0)</f>
        <v>0</v>
      </c>
      <c r="J22" s="393">
        <f>IF(入力!$I$14-2&gt;=27,J20+J21,0)</f>
        <v>0</v>
      </c>
      <c r="K22" s="432">
        <f>IF(入力!$I$14-1&gt;=27,K20+K21,0)</f>
        <v>0</v>
      </c>
      <c r="L22" s="393">
        <f>IF(入力!$I$14&gt;=27,L20+L21,0)</f>
        <v>0</v>
      </c>
      <c r="M22" s="393">
        <f>IF(入力!$I$14+1&gt;=27,M20+M21,0)</f>
        <v>0</v>
      </c>
      <c r="N22" s="393">
        <f>IF(入力!$I$14+2&gt;=27,N20+N21,0)</f>
        <v>0</v>
      </c>
      <c r="O22" s="393">
        <f>IF(入力!$I$14+3&gt;=27,O20+O21,0)</f>
        <v>0</v>
      </c>
      <c r="P22" s="454">
        <f>IF(入力!$I$14+4&gt;=27,P20+P21,0)</f>
        <v>0</v>
      </c>
      <c r="Q22" s="431">
        <f>SUM(Q20:Q21)</f>
        <v>0</v>
      </c>
    </row>
    <row r="23" spans="1:18" s="130" customFormat="1" ht="26.25" customHeight="1" x14ac:dyDescent="0.2">
      <c r="A23" s="129"/>
      <c r="B23" s="1002"/>
      <c r="C23" s="1016" t="s">
        <v>337</v>
      </c>
      <c r="D23" s="259"/>
      <c r="E23" s="1017" t="s">
        <v>345</v>
      </c>
      <c r="F23" s="998"/>
      <c r="G23" s="998"/>
      <c r="H23" s="999"/>
      <c r="I23" s="383"/>
      <c r="J23" s="384"/>
      <c r="K23" s="385"/>
      <c r="L23" s="446">
        <f>様式5!H41</f>
        <v>0</v>
      </c>
      <c r="M23" s="384">
        <f>様式5!I41</f>
        <v>0</v>
      </c>
      <c r="N23" s="384">
        <f>様式5!J41</f>
        <v>0</v>
      </c>
      <c r="O23" s="384">
        <f>様式5!K41</f>
        <v>0</v>
      </c>
      <c r="P23" s="447">
        <f>様式5!L41</f>
        <v>0</v>
      </c>
      <c r="Q23" s="387">
        <f>様式5!M41</f>
        <v>0</v>
      </c>
    </row>
    <row r="24" spans="1:18" s="130" customFormat="1" ht="26.25" customHeight="1" x14ac:dyDescent="0.2">
      <c r="A24" s="129"/>
      <c r="B24" s="1002"/>
      <c r="C24" s="1005"/>
      <c r="D24" s="320"/>
      <c r="E24" s="1010" t="s">
        <v>346</v>
      </c>
      <c r="F24" s="1010"/>
      <c r="G24" s="1010"/>
      <c r="H24" s="1018"/>
      <c r="I24" s="424"/>
      <c r="J24" s="425"/>
      <c r="K24" s="478"/>
      <c r="L24" s="424"/>
      <c r="M24" s="425"/>
      <c r="N24" s="425"/>
      <c r="O24" s="425"/>
      <c r="P24" s="427"/>
      <c r="Q24" s="427"/>
    </row>
    <row r="25" spans="1:18" s="130" customFormat="1" ht="26.25" customHeight="1" x14ac:dyDescent="0.2">
      <c r="A25" s="129"/>
      <c r="B25" s="1002"/>
      <c r="C25" s="1006"/>
      <c r="D25" s="246"/>
      <c r="E25" s="1013" t="s">
        <v>347</v>
      </c>
      <c r="F25" s="1014"/>
      <c r="G25" s="1014"/>
      <c r="H25" s="1015"/>
      <c r="I25" s="395">
        <f>IF(入力!$I$14-3&gt;=27,I23+I24,I23)</f>
        <v>0</v>
      </c>
      <c r="J25" s="393">
        <f>IF(入力!$I$14-2&gt;=27,J23+J24,J23)</f>
        <v>0</v>
      </c>
      <c r="K25" s="432">
        <f>IF(入力!$I$14-1&gt;=27,K23+K24,K23)</f>
        <v>0</v>
      </c>
      <c r="L25" s="393">
        <f>IF(入力!$I$14&gt;=27,L23+L24,L23)</f>
        <v>0</v>
      </c>
      <c r="M25" s="393">
        <f>IF(入力!$I$14+1&gt;=27,M23+M24,M23)</f>
        <v>0</v>
      </c>
      <c r="N25" s="393">
        <f>IF(入力!$I$14+2&gt;=27,N23+N24,N23)</f>
        <v>0</v>
      </c>
      <c r="O25" s="393">
        <f>IF(入力!$I$14+3&gt;=27,O23+O24,O23)</f>
        <v>0</v>
      </c>
      <c r="P25" s="454">
        <f>IF(入力!$I$14+4&gt;=27,P23+P24,P23)</f>
        <v>0</v>
      </c>
      <c r="Q25" s="431">
        <f>SUM(Q23:Q24)</f>
        <v>0</v>
      </c>
    </row>
    <row r="26" spans="1:18" s="130" customFormat="1" ht="26.25" customHeight="1" thickBot="1" x14ac:dyDescent="0.25">
      <c r="A26" s="129"/>
      <c r="B26" s="1003"/>
      <c r="C26" s="244"/>
      <c r="D26" s="259"/>
      <c r="E26" s="997" t="s">
        <v>348</v>
      </c>
      <c r="F26" s="998"/>
      <c r="G26" s="998"/>
      <c r="H26" s="999"/>
      <c r="I26" s="379">
        <f t="shared" ref="I26:K26" si="6">I22-I25</f>
        <v>0</v>
      </c>
      <c r="J26" s="413">
        <f t="shared" si="6"/>
        <v>0</v>
      </c>
      <c r="K26" s="434">
        <f t="shared" si="6"/>
        <v>0</v>
      </c>
      <c r="L26" s="446">
        <f>L22-L25</f>
        <v>0</v>
      </c>
      <c r="M26" s="384">
        <f t="shared" ref="M26:Q26" si="7">M22-M25</f>
        <v>0</v>
      </c>
      <c r="N26" s="384">
        <f t="shared" si="7"/>
        <v>0</v>
      </c>
      <c r="O26" s="384">
        <f t="shared" si="7"/>
        <v>0</v>
      </c>
      <c r="P26" s="447">
        <f t="shared" si="7"/>
        <v>0</v>
      </c>
      <c r="Q26" s="415">
        <f t="shared" si="7"/>
        <v>0</v>
      </c>
    </row>
    <row r="27" spans="1:18" s="130" customFormat="1" ht="26.25" customHeight="1" thickBot="1" x14ac:dyDescent="0.25">
      <c r="A27" s="129"/>
      <c r="B27" s="247"/>
      <c r="C27" s="248"/>
      <c r="D27" s="258"/>
      <c r="E27" s="994" t="s">
        <v>349</v>
      </c>
      <c r="F27" s="995"/>
      <c r="G27" s="995"/>
      <c r="H27" s="996"/>
      <c r="I27" s="455">
        <f t="shared" ref="I27:K27" si="8">I19+I26</f>
        <v>0</v>
      </c>
      <c r="J27" s="456">
        <f t="shared" si="8"/>
        <v>0</v>
      </c>
      <c r="K27" s="457">
        <f t="shared" si="8"/>
        <v>0</v>
      </c>
      <c r="L27" s="458">
        <f>L19+L26</f>
        <v>0</v>
      </c>
      <c r="M27" s="456">
        <f t="shared" ref="M27:Q27" si="9">M19+M26</f>
        <v>0</v>
      </c>
      <c r="N27" s="456">
        <f t="shared" si="9"/>
        <v>0</v>
      </c>
      <c r="O27" s="456">
        <f t="shared" si="9"/>
        <v>0</v>
      </c>
      <c r="P27" s="459">
        <f t="shared" si="9"/>
        <v>0</v>
      </c>
      <c r="Q27" s="460">
        <f t="shared" si="9"/>
        <v>0</v>
      </c>
    </row>
    <row r="28" spans="1:18" s="130" customFormat="1" ht="26.25" customHeight="1" x14ac:dyDescent="0.2">
      <c r="A28" s="129"/>
      <c r="B28" s="1001" t="s">
        <v>350</v>
      </c>
      <c r="C28" s="1004" t="s">
        <v>334</v>
      </c>
      <c r="D28" s="245"/>
      <c r="E28" s="1007" t="s">
        <v>80</v>
      </c>
      <c r="F28" s="1007"/>
      <c r="G28" s="1007"/>
      <c r="H28" s="1028"/>
      <c r="I28" s="435"/>
      <c r="J28" s="436"/>
      <c r="K28" s="437"/>
      <c r="L28" s="374">
        <f>L42</f>
        <v>0</v>
      </c>
      <c r="M28" s="429">
        <f t="shared" ref="M28:Q28" si="10">M42</f>
        <v>0</v>
      </c>
      <c r="N28" s="429">
        <f t="shared" si="10"/>
        <v>0</v>
      </c>
      <c r="O28" s="429">
        <f t="shared" si="10"/>
        <v>0</v>
      </c>
      <c r="P28" s="448">
        <f t="shared" si="10"/>
        <v>0</v>
      </c>
      <c r="Q28" s="461">
        <f t="shared" si="10"/>
        <v>0</v>
      </c>
    </row>
    <row r="29" spans="1:18" s="130" customFormat="1" ht="26.25" customHeight="1" x14ac:dyDescent="0.2">
      <c r="A29" s="129"/>
      <c r="B29" s="1002"/>
      <c r="C29" s="1005"/>
      <c r="D29" s="320"/>
      <c r="E29" s="1010" t="s">
        <v>351</v>
      </c>
      <c r="F29" s="1011"/>
      <c r="G29" s="1011"/>
      <c r="H29" s="1012"/>
      <c r="I29" s="424"/>
      <c r="J29" s="425"/>
      <c r="K29" s="426"/>
      <c r="L29" s="479"/>
      <c r="M29" s="425"/>
      <c r="N29" s="425"/>
      <c r="O29" s="425"/>
      <c r="P29" s="427"/>
      <c r="Q29" s="427"/>
    </row>
    <row r="30" spans="1:18" s="130" customFormat="1" ht="26.25" customHeight="1" x14ac:dyDescent="0.2">
      <c r="A30" s="129"/>
      <c r="B30" s="1002"/>
      <c r="C30" s="1006"/>
      <c r="D30" s="246"/>
      <c r="E30" s="1013" t="s">
        <v>352</v>
      </c>
      <c r="F30" s="1014"/>
      <c r="G30" s="1014"/>
      <c r="H30" s="1015"/>
      <c r="I30" s="395">
        <f>IF(入力!$I$14-3&gt;=27,I28+I29,I28)</f>
        <v>0</v>
      </c>
      <c r="J30" s="393">
        <f>IF(入力!$I$14-2&gt;=27,J28+J29,J28)</f>
        <v>0</v>
      </c>
      <c r="K30" s="432">
        <f>IF(入力!$I$14-1&gt;=27,K28+K29,K28)</f>
        <v>0</v>
      </c>
      <c r="L30" s="393">
        <f>IF(入力!$I$14&gt;=27,L28+L29,L28)</f>
        <v>0</v>
      </c>
      <c r="M30" s="393">
        <f>IF(入力!$I$14+1&gt;=27,M28+M29,M28)</f>
        <v>0</v>
      </c>
      <c r="N30" s="393">
        <f>IF(入力!$I$14+2&gt;=27,N28+N29,N28)</f>
        <v>0</v>
      </c>
      <c r="O30" s="393">
        <f>IF(入力!$I$14+3&gt;=27,O28+O29,O28)</f>
        <v>0</v>
      </c>
      <c r="P30" s="454">
        <f>IF(入力!$I$14+4&gt;=27,P28+P29,P28)</f>
        <v>0</v>
      </c>
      <c r="Q30" s="431">
        <f>SUM(Q28:Q29)</f>
        <v>0</v>
      </c>
    </row>
    <row r="31" spans="1:18" s="130" customFormat="1" ht="26.25" customHeight="1" x14ac:dyDescent="0.2">
      <c r="A31" s="129"/>
      <c r="B31" s="1002"/>
      <c r="C31" s="1016" t="s">
        <v>353</v>
      </c>
      <c r="D31" s="259"/>
      <c r="E31" s="1017" t="s">
        <v>85</v>
      </c>
      <c r="F31" s="998"/>
      <c r="G31" s="998"/>
      <c r="H31" s="999"/>
      <c r="I31" s="383"/>
      <c r="J31" s="384"/>
      <c r="K31" s="385"/>
      <c r="L31" s="446">
        <f>L47</f>
        <v>0</v>
      </c>
      <c r="M31" s="384">
        <f t="shared" ref="M31:Q31" si="11">M47</f>
        <v>0</v>
      </c>
      <c r="N31" s="384">
        <f t="shared" si="11"/>
        <v>0</v>
      </c>
      <c r="O31" s="384">
        <f t="shared" si="11"/>
        <v>0</v>
      </c>
      <c r="P31" s="447">
        <f t="shared" si="11"/>
        <v>0</v>
      </c>
      <c r="Q31" s="387">
        <f t="shared" si="11"/>
        <v>0</v>
      </c>
    </row>
    <row r="32" spans="1:18" s="130" customFormat="1" ht="26.25" customHeight="1" x14ac:dyDescent="0.2">
      <c r="A32" s="129"/>
      <c r="B32" s="1002"/>
      <c r="C32" s="1005"/>
      <c r="D32" s="320"/>
      <c r="E32" s="1010" t="s">
        <v>354</v>
      </c>
      <c r="F32" s="1011"/>
      <c r="G32" s="1011"/>
      <c r="H32" s="1012"/>
      <c r="I32" s="424"/>
      <c r="J32" s="425"/>
      <c r="K32" s="478"/>
      <c r="L32" s="424"/>
      <c r="M32" s="425"/>
      <c r="N32" s="425"/>
      <c r="O32" s="425"/>
      <c r="P32" s="427"/>
      <c r="Q32" s="427"/>
    </row>
    <row r="33" spans="1:19" s="130" customFormat="1" ht="26.25" customHeight="1" x14ac:dyDescent="0.2">
      <c r="A33" s="129"/>
      <c r="B33" s="1002"/>
      <c r="C33" s="1006"/>
      <c r="D33" s="249"/>
      <c r="E33" s="1025" t="s">
        <v>355</v>
      </c>
      <c r="F33" s="1026"/>
      <c r="G33" s="1026"/>
      <c r="H33" s="1027"/>
      <c r="I33" s="439">
        <f>IF(入力!$I$14-3&gt;=27,I31+I32,I31)</f>
        <v>0</v>
      </c>
      <c r="J33" s="440">
        <f>IF(入力!$I$14-2&gt;=27,J31+J32,J31)</f>
        <v>0</v>
      </c>
      <c r="K33" s="441">
        <f>IF(入力!$I$14-1&gt;=27,K31+K32,K31)</f>
        <v>0</v>
      </c>
      <c r="L33" s="440">
        <f>IF(入力!$I$14&gt;=27,L31+L32,L31)</f>
        <v>0</v>
      </c>
      <c r="M33" s="440">
        <f>IF(入力!$I$14+1&gt;=27,M31+M32,M31)</f>
        <v>0</v>
      </c>
      <c r="N33" s="440">
        <f>IF(入力!$I$14+2&gt;=27,N31+N32,N31)</f>
        <v>0</v>
      </c>
      <c r="O33" s="440">
        <f>IF(入力!$I$14+3&gt;=27,O31+O32,O31)</f>
        <v>0</v>
      </c>
      <c r="P33" s="453">
        <f>IF(入力!$I$14+4&gt;=27,P31+P32,P31)</f>
        <v>0</v>
      </c>
      <c r="Q33" s="431">
        <f>SUM(Q31:Q32)</f>
        <v>0</v>
      </c>
    </row>
    <row r="34" spans="1:19" s="130" customFormat="1" ht="26.25" customHeight="1" x14ac:dyDescent="0.2">
      <c r="A34" s="129"/>
      <c r="B34" s="1002"/>
      <c r="D34" s="245"/>
      <c r="E34" s="997" t="s">
        <v>356</v>
      </c>
      <c r="F34" s="998"/>
      <c r="G34" s="998"/>
      <c r="H34" s="999"/>
      <c r="I34" s="375">
        <f>I30-I33</f>
        <v>0</v>
      </c>
      <c r="J34" s="406">
        <f t="shared" ref="J34:P34" si="12">J30-J33</f>
        <v>0</v>
      </c>
      <c r="K34" s="406">
        <f t="shared" si="12"/>
        <v>0</v>
      </c>
      <c r="L34" s="375">
        <f t="shared" si="12"/>
        <v>0</v>
      </c>
      <c r="M34" s="406">
        <f t="shared" si="12"/>
        <v>0</v>
      </c>
      <c r="N34" s="406">
        <f t="shared" si="12"/>
        <v>0</v>
      </c>
      <c r="O34" s="406">
        <f t="shared" si="12"/>
        <v>0</v>
      </c>
      <c r="P34" s="406">
        <f t="shared" si="12"/>
        <v>0</v>
      </c>
      <c r="Q34" s="387">
        <f>Q30-Q33</f>
        <v>0</v>
      </c>
    </row>
    <row r="35" spans="1:19" s="130" customFormat="1" ht="26.25" customHeight="1" thickBot="1" x14ac:dyDescent="0.25">
      <c r="A35" s="129"/>
      <c r="B35" s="323"/>
      <c r="C35" s="324"/>
      <c r="D35" s="325"/>
      <c r="E35" s="1019" t="s">
        <v>357</v>
      </c>
      <c r="F35" s="1020"/>
      <c r="G35" s="1020"/>
      <c r="H35" s="1021"/>
      <c r="I35" s="375">
        <f>I27+I34</f>
        <v>0</v>
      </c>
      <c r="J35" s="406">
        <f t="shared" ref="J35:Q35" si="13">J27+J34</f>
        <v>0</v>
      </c>
      <c r="K35" s="406">
        <f t="shared" si="13"/>
        <v>0</v>
      </c>
      <c r="L35" s="375">
        <f t="shared" si="13"/>
        <v>0</v>
      </c>
      <c r="M35" s="406">
        <f t="shared" si="13"/>
        <v>0</v>
      </c>
      <c r="N35" s="406">
        <f t="shared" si="13"/>
        <v>0</v>
      </c>
      <c r="O35" s="406">
        <f t="shared" si="13"/>
        <v>0</v>
      </c>
      <c r="P35" s="407">
        <f t="shared" si="13"/>
        <v>0</v>
      </c>
      <c r="Q35" s="408">
        <f t="shared" si="13"/>
        <v>0</v>
      </c>
    </row>
    <row r="36" spans="1:19" s="130" customFormat="1" ht="17.25" customHeight="1" thickBot="1" x14ac:dyDescent="0.25">
      <c r="A36" s="129"/>
      <c r="B36" s="1022" t="s">
        <v>358</v>
      </c>
      <c r="C36" s="1023"/>
      <c r="D36" s="245"/>
      <c r="E36" s="245"/>
      <c r="F36" s="245"/>
      <c r="G36" s="245"/>
      <c r="H36" s="245"/>
      <c r="I36" s="462"/>
      <c r="J36" s="462"/>
      <c r="K36" s="462"/>
      <c r="L36" s="462"/>
      <c r="M36" s="462"/>
      <c r="N36" s="462"/>
      <c r="O36" s="462"/>
      <c r="P36" s="462"/>
      <c r="Q36" s="463"/>
    </row>
    <row r="37" spans="1:19" s="130" customFormat="1" ht="26.25" customHeight="1" x14ac:dyDescent="0.2">
      <c r="A37" s="129"/>
      <c r="B37" s="251"/>
      <c r="C37" s="252"/>
      <c r="D37" s="253"/>
      <c r="E37" s="1029" t="s">
        <v>359</v>
      </c>
      <c r="F37" s="1030"/>
      <c r="G37" s="1030"/>
      <c r="H37" s="1031"/>
      <c r="I37" s="464">
        <f t="shared" ref="I37:K37" si="14">I11+I22+I30</f>
        <v>0</v>
      </c>
      <c r="J37" s="465">
        <f t="shared" si="14"/>
        <v>0</v>
      </c>
      <c r="K37" s="466">
        <f t="shared" si="14"/>
        <v>0</v>
      </c>
      <c r="L37" s="467">
        <f>L11+L22+L30</f>
        <v>0</v>
      </c>
      <c r="M37" s="436">
        <f t="shared" ref="M37:Q37" si="15">M11+M22+M30</f>
        <v>0</v>
      </c>
      <c r="N37" s="436">
        <f t="shared" si="15"/>
        <v>0</v>
      </c>
      <c r="O37" s="436">
        <f t="shared" si="15"/>
        <v>0</v>
      </c>
      <c r="P37" s="468">
        <f t="shared" si="15"/>
        <v>0</v>
      </c>
      <c r="Q37" s="469">
        <f t="shared" si="15"/>
        <v>0</v>
      </c>
    </row>
    <row r="38" spans="1:19" s="130" customFormat="1" ht="26.25" customHeight="1" thickBot="1" x14ac:dyDescent="0.25">
      <c r="A38" s="129"/>
      <c r="B38" s="254"/>
      <c r="C38" s="255"/>
      <c r="D38" s="256"/>
      <c r="E38" s="1032" t="s">
        <v>360</v>
      </c>
      <c r="F38" s="1033"/>
      <c r="G38" s="1033"/>
      <c r="H38" s="1034"/>
      <c r="I38" s="379">
        <f t="shared" ref="I38:K38" si="16">I18+I25+I33</f>
        <v>0</v>
      </c>
      <c r="J38" s="413">
        <f t="shared" si="16"/>
        <v>0</v>
      </c>
      <c r="K38" s="434">
        <f t="shared" si="16"/>
        <v>0</v>
      </c>
      <c r="L38" s="380">
        <f>L18+L25+L33</f>
        <v>0</v>
      </c>
      <c r="M38" s="413">
        <f t="shared" ref="M38:Q38" si="17">M18+M25+M33</f>
        <v>0</v>
      </c>
      <c r="N38" s="413">
        <f t="shared" si="17"/>
        <v>0</v>
      </c>
      <c r="O38" s="413">
        <f t="shared" si="17"/>
        <v>0</v>
      </c>
      <c r="P38" s="470">
        <f t="shared" si="17"/>
        <v>0</v>
      </c>
      <c r="Q38" s="415">
        <f t="shared" si="17"/>
        <v>0</v>
      </c>
    </row>
    <row r="39" spans="1:19" s="130" customFormat="1" ht="26.25" customHeight="1" thickBot="1" x14ac:dyDescent="0.25">
      <c r="A39" s="129"/>
      <c r="B39" s="248"/>
      <c r="D39" s="245"/>
      <c r="E39" s="245"/>
      <c r="F39" s="245"/>
      <c r="G39" s="245"/>
      <c r="H39" s="245"/>
      <c r="I39" s="134"/>
      <c r="J39" s="135"/>
      <c r="K39" s="136"/>
      <c r="L39" s="135"/>
      <c r="M39" s="135"/>
      <c r="N39" s="135"/>
      <c r="O39" s="135"/>
      <c r="P39" s="152"/>
      <c r="Q39" s="279"/>
    </row>
    <row r="40" spans="1:19" ht="26.25" customHeight="1" thickBot="1" x14ac:dyDescent="0.25">
      <c r="A40" s="131"/>
      <c r="B40" s="1035" t="s">
        <v>385</v>
      </c>
      <c r="C40" s="940"/>
      <c r="D40" s="940"/>
      <c r="E40" s="940"/>
      <c r="F40" s="940"/>
      <c r="G40" s="940"/>
      <c r="H40" s="940"/>
      <c r="I40" s="940"/>
      <c r="J40" s="940"/>
      <c r="K40" s="940"/>
      <c r="L40" s="940"/>
      <c r="M40" s="940"/>
      <c r="N40" s="940"/>
      <c r="O40" s="940"/>
      <c r="P40" s="940"/>
      <c r="Q40" s="1042"/>
    </row>
    <row r="41" spans="1:19" ht="26.25" customHeight="1" thickTop="1" x14ac:dyDescent="0.2">
      <c r="B41" s="959" t="s">
        <v>407</v>
      </c>
      <c r="C41" s="960"/>
      <c r="D41" s="960"/>
      <c r="E41" s="960"/>
      <c r="F41" s="960"/>
      <c r="G41" s="1037"/>
      <c r="H41" s="1037"/>
      <c r="I41" s="464"/>
      <c r="J41" s="465"/>
      <c r="K41" s="466"/>
      <c r="L41" s="471"/>
      <c r="M41" s="472"/>
      <c r="N41" s="472"/>
      <c r="O41" s="472"/>
      <c r="P41" s="473"/>
      <c r="Q41" s="630"/>
    </row>
    <row r="42" spans="1:19" ht="26.25" customHeight="1" x14ac:dyDescent="0.2">
      <c r="B42" s="951" t="s">
        <v>157</v>
      </c>
      <c r="C42" s="952"/>
      <c r="D42" s="952"/>
      <c r="E42" s="952"/>
      <c r="F42" s="952"/>
      <c r="G42" s="1024"/>
      <c r="H42" s="1024"/>
      <c r="I42" s="375"/>
      <c r="J42" s="406"/>
      <c r="K42" s="433"/>
      <c r="L42" s="474"/>
      <c r="M42" s="377"/>
      <c r="N42" s="377"/>
      <c r="O42" s="377"/>
      <c r="P42" s="378"/>
      <c r="Q42" s="631"/>
    </row>
    <row r="43" spans="1:19" ht="26.25" customHeight="1" x14ac:dyDescent="0.2">
      <c r="B43" s="951" t="s">
        <v>158</v>
      </c>
      <c r="C43" s="952"/>
      <c r="D43" s="952"/>
      <c r="E43" s="952"/>
      <c r="F43" s="952"/>
      <c r="G43" s="1024"/>
      <c r="H43" s="1024"/>
      <c r="I43" s="375"/>
      <c r="J43" s="406"/>
      <c r="K43" s="433"/>
      <c r="L43" s="474"/>
      <c r="M43" s="377"/>
      <c r="N43" s="377"/>
      <c r="O43" s="377"/>
      <c r="P43" s="378"/>
      <c r="Q43" s="631"/>
    </row>
    <row r="44" spans="1:19" ht="26.25" customHeight="1" x14ac:dyDescent="0.2">
      <c r="B44" s="951" t="s">
        <v>386</v>
      </c>
      <c r="C44" s="952"/>
      <c r="D44" s="952"/>
      <c r="E44" s="952"/>
      <c r="F44" s="952"/>
      <c r="G44" s="953"/>
      <c r="H44" s="953"/>
      <c r="I44" s="375"/>
      <c r="J44" s="406"/>
      <c r="K44" s="433"/>
      <c r="L44" s="474"/>
      <c r="M44" s="377"/>
      <c r="N44" s="377"/>
      <c r="O44" s="377"/>
      <c r="P44" s="378"/>
      <c r="Q44" s="631"/>
    </row>
    <row r="45" spans="1:19" ht="26.25" customHeight="1" x14ac:dyDescent="0.2">
      <c r="B45" s="951" t="s">
        <v>159</v>
      </c>
      <c r="C45" s="952"/>
      <c r="D45" s="952"/>
      <c r="E45" s="952"/>
      <c r="F45" s="952"/>
      <c r="G45" s="1024"/>
      <c r="H45" s="1024"/>
      <c r="I45" s="375"/>
      <c r="J45" s="406"/>
      <c r="K45" s="433"/>
      <c r="L45" s="474"/>
      <c r="M45" s="377"/>
      <c r="N45" s="377"/>
      <c r="O45" s="377"/>
      <c r="P45" s="378"/>
      <c r="Q45" s="631"/>
    </row>
    <row r="46" spans="1:19" ht="26.25" customHeight="1" x14ac:dyDescent="0.2">
      <c r="B46" s="951" t="s">
        <v>160</v>
      </c>
      <c r="C46" s="952"/>
      <c r="D46" s="952"/>
      <c r="E46" s="952"/>
      <c r="F46" s="952"/>
      <c r="G46" s="1024"/>
      <c r="H46" s="1024"/>
      <c r="I46" s="375"/>
      <c r="J46" s="406"/>
      <c r="K46" s="433"/>
      <c r="L46" s="474"/>
      <c r="M46" s="377"/>
      <c r="N46" s="377"/>
      <c r="O46" s="377"/>
      <c r="P46" s="378"/>
      <c r="Q46" s="631"/>
      <c r="S46" s="139"/>
    </row>
    <row r="47" spans="1:19" ht="26.25" customHeight="1" x14ac:dyDescent="0.2">
      <c r="B47" s="951" t="s">
        <v>361</v>
      </c>
      <c r="C47" s="952"/>
      <c r="D47" s="952"/>
      <c r="E47" s="952"/>
      <c r="F47" s="952"/>
      <c r="G47" s="1024"/>
      <c r="H47" s="1024"/>
      <c r="I47" s="375"/>
      <c r="J47" s="406"/>
      <c r="K47" s="433"/>
      <c r="L47" s="474"/>
      <c r="M47" s="377"/>
      <c r="N47" s="377"/>
      <c r="O47" s="377"/>
      <c r="P47" s="378"/>
      <c r="Q47" s="631"/>
    </row>
    <row r="48" spans="1:19" ht="26.25" customHeight="1" thickBot="1" x14ac:dyDescent="0.25">
      <c r="B48" s="955" t="s">
        <v>364</v>
      </c>
      <c r="C48" s="956"/>
      <c r="D48" s="956"/>
      <c r="E48" s="956"/>
      <c r="F48" s="956"/>
      <c r="G48" s="957"/>
      <c r="H48" s="957"/>
      <c r="I48" s="379"/>
      <c r="J48" s="413"/>
      <c r="K48" s="434"/>
      <c r="L48" s="475"/>
      <c r="M48" s="381"/>
      <c r="N48" s="381"/>
      <c r="O48" s="381"/>
      <c r="P48" s="382"/>
      <c r="Q48" s="632"/>
    </row>
  </sheetData>
  <mergeCells count="55">
    <mergeCell ref="B41:H41"/>
    <mergeCell ref="E31:H31"/>
    <mergeCell ref="E32:H32"/>
    <mergeCell ref="E33:H33"/>
    <mergeCell ref="E34:H34"/>
    <mergeCell ref="E35:H35"/>
    <mergeCell ref="B36:C36"/>
    <mergeCell ref="E37:H37"/>
    <mergeCell ref="E38:H38"/>
    <mergeCell ref="B40:Q40"/>
    <mergeCell ref="B48:H48"/>
    <mergeCell ref="B42:H42"/>
    <mergeCell ref="B43:H43"/>
    <mergeCell ref="B44:H44"/>
    <mergeCell ref="B45:H45"/>
    <mergeCell ref="B46:H46"/>
    <mergeCell ref="B47:H47"/>
    <mergeCell ref="E27:H27"/>
    <mergeCell ref="B28:B34"/>
    <mergeCell ref="C28:C30"/>
    <mergeCell ref="E28:H28"/>
    <mergeCell ref="E29:H29"/>
    <mergeCell ref="E30:H30"/>
    <mergeCell ref="C31:C33"/>
    <mergeCell ref="B20:B26"/>
    <mergeCell ref="C20:C22"/>
    <mergeCell ref="E20:H20"/>
    <mergeCell ref="E21:H21"/>
    <mergeCell ref="E22:H22"/>
    <mergeCell ref="C23:C25"/>
    <mergeCell ref="E23:H23"/>
    <mergeCell ref="E24:H24"/>
    <mergeCell ref="E25:H25"/>
    <mergeCell ref="E26:H26"/>
    <mergeCell ref="E15:H15"/>
    <mergeCell ref="F16:H16"/>
    <mergeCell ref="E17:H17"/>
    <mergeCell ref="E18:H18"/>
    <mergeCell ref="D19:H19"/>
    <mergeCell ref="P1:Q1"/>
    <mergeCell ref="B3:H3"/>
    <mergeCell ref="C4:H4"/>
    <mergeCell ref="B5:B19"/>
    <mergeCell ref="C5:C11"/>
    <mergeCell ref="F5:H5"/>
    <mergeCell ref="F6:H6"/>
    <mergeCell ref="F7:H7"/>
    <mergeCell ref="F8:H8"/>
    <mergeCell ref="F9:H9"/>
    <mergeCell ref="F10:H10"/>
    <mergeCell ref="D11:H11"/>
    <mergeCell ref="C12:C18"/>
    <mergeCell ref="E12:H12"/>
    <mergeCell ref="E13:H13"/>
    <mergeCell ref="F14:H14"/>
  </mergeCells>
  <phoneticPr fontId="2"/>
  <conditionalFormatting sqref="L4:Q4">
    <cfRule type="cellIs" dxfId="97" priority="154" stopIfTrue="1" operator="between">
      <formula>"実績"</formula>
      <formula>"実績"</formula>
    </cfRule>
    <cfRule type="cellIs" dxfId="96" priority="155" stopIfTrue="1" operator="between">
      <formula>"見込"</formula>
      <formula>"見込"</formula>
    </cfRule>
  </conditionalFormatting>
  <pageMargins left="0.6" right="0.2" top="0.85" bottom="0.37" header="0.56999999999999995" footer="0.21"/>
  <pageSetup paperSize="9" scale="59" orientation="portrait" r:id="rId1"/>
  <headerFooter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expression" priority="137" id="{3B6B647B-5840-4128-8CE5-4E52134F276F}">
            <xm:f>入力!$B$14-3&lt;27</xm:f>
            <x14:dxf>
              <fill>
                <patternFill patternType="mediumGray"/>
              </fill>
            </x14:dxf>
          </x14:cfRule>
          <xm:sqref>I9</xm:sqref>
        </x14:conditionalFormatting>
        <x14:conditionalFormatting xmlns:xm="http://schemas.microsoft.com/office/excel/2006/main">
          <x14:cfRule type="expression" priority="136" id="{16223919-FEDB-491B-AB74-B0DC5F356A36}">
            <xm:f>入力!$B$14-2&lt;27</xm:f>
            <x14:dxf>
              <fill>
                <patternFill patternType="mediumGray"/>
              </fill>
            </x14:dxf>
          </x14:cfRule>
          <xm:sqref>J9</xm:sqref>
        </x14:conditionalFormatting>
        <x14:conditionalFormatting xmlns:xm="http://schemas.microsoft.com/office/excel/2006/main">
          <x14:cfRule type="expression" priority="135" id="{68C18EFC-B739-4A19-A6BC-B1E67EBD572C}">
            <xm:f>入力!$B$14-1&lt;27</xm:f>
            <x14:dxf>
              <fill>
                <patternFill patternType="mediumGray"/>
              </fill>
            </x14:dxf>
          </x14:cfRule>
          <xm:sqref>K9</xm:sqref>
        </x14:conditionalFormatting>
        <x14:conditionalFormatting xmlns:xm="http://schemas.microsoft.com/office/excel/2006/main">
          <x14:cfRule type="expression" priority="134" id="{C66A7BC1-B401-4695-8953-224E8AA30C80}">
            <xm:f>入力!$B$14&lt;27</xm:f>
            <x14:dxf>
              <fill>
                <patternFill patternType="mediumGray"/>
              </fill>
            </x14:dxf>
          </x14:cfRule>
          <xm:sqref>L9</xm:sqref>
        </x14:conditionalFormatting>
        <x14:conditionalFormatting xmlns:xm="http://schemas.microsoft.com/office/excel/2006/main">
          <x14:cfRule type="expression" priority="133" id="{AC9BA5F8-DB5E-40F8-8F0B-798CFF1F2B16}">
            <xm:f>入力!$B$14+1&lt;27</xm:f>
            <x14:dxf>
              <fill>
                <patternFill patternType="mediumGray"/>
              </fill>
            </x14:dxf>
          </x14:cfRule>
          <xm:sqref>M9</xm:sqref>
        </x14:conditionalFormatting>
        <x14:conditionalFormatting xmlns:xm="http://schemas.microsoft.com/office/excel/2006/main">
          <x14:cfRule type="expression" priority="132" id="{1D055E57-BE9E-4B91-97EA-8F50BA6F2F6A}">
            <xm:f>入力!$B$14+2&lt;27</xm:f>
            <x14:dxf>
              <fill>
                <patternFill patternType="mediumGray"/>
              </fill>
            </x14:dxf>
          </x14:cfRule>
          <xm:sqref>N9</xm:sqref>
        </x14:conditionalFormatting>
        <x14:conditionalFormatting xmlns:xm="http://schemas.microsoft.com/office/excel/2006/main">
          <x14:cfRule type="expression" priority="131" id="{8F0344F4-9CA8-4329-9D30-F5558961CD23}">
            <xm:f>入力!$B$14+3&lt;27</xm:f>
            <x14:dxf>
              <fill>
                <patternFill patternType="mediumGray"/>
              </fill>
            </x14:dxf>
          </x14:cfRule>
          <xm:sqref>O9</xm:sqref>
        </x14:conditionalFormatting>
        <x14:conditionalFormatting xmlns:xm="http://schemas.microsoft.com/office/excel/2006/main">
          <x14:cfRule type="expression" priority="130" id="{2BD7EB83-7A71-426F-9C95-E254C03495B2}">
            <xm:f>入力!$B$14+4&lt;27</xm:f>
            <x14:dxf>
              <fill>
                <patternFill patternType="mediumGray"/>
              </fill>
            </x14:dxf>
          </x14:cfRule>
          <xm:sqref>P9</xm:sqref>
        </x14:conditionalFormatting>
        <x14:conditionalFormatting xmlns:xm="http://schemas.microsoft.com/office/excel/2006/main">
          <x14:cfRule type="expression" priority="129" id="{C2D5FEB9-E2B7-465B-AE1B-8A7716280375}">
            <xm:f>入力!$B$14-3&lt;27</xm:f>
            <x14:dxf>
              <fill>
                <patternFill patternType="mediumGray"/>
              </fill>
            </x14:dxf>
          </x14:cfRule>
          <xm:sqref>I8</xm:sqref>
        </x14:conditionalFormatting>
        <x14:conditionalFormatting xmlns:xm="http://schemas.microsoft.com/office/excel/2006/main">
          <x14:cfRule type="expression" priority="128" id="{6EA2DF70-20E9-433A-93F6-16DC081C9D50}">
            <xm:f>入力!$B$14-2&lt;27</xm:f>
            <x14:dxf>
              <fill>
                <patternFill patternType="mediumGray"/>
              </fill>
            </x14:dxf>
          </x14:cfRule>
          <xm:sqref>J8</xm:sqref>
        </x14:conditionalFormatting>
        <x14:conditionalFormatting xmlns:xm="http://schemas.microsoft.com/office/excel/2006/main">
          <x14:cfRule type="expression" priority="127" id="{81469DE3-4A70-4AD1-A354-6B1025EA1951}">
            <xm:f>入力!$B$14-1&lt;27</xm:f>
            <x14:dxf>
              <fill>
                <patternFill patternType="mediumGray"/>
              </fill>
            </x14:dxf>
          </x14:cfRule>
          <xm:sqref>K8</xm:sqref>
        </x14:conditionalFormatting>
        <x14:conditionalFormatting xmlns:xm="http://schemas.microsoft.com/office/excel/2006/main">
          <x14:cfRule type="expression" priority="126" id="{5509F40F-C906-4183-8FFF-D243FC277360}">
            <xm:f>入力!$B$14&lt;27</xm:f>
            <x14:dxf>
              <fill>
                <patternFill patternType="mediumGray"/>
              </fill>
            </x14:dxf>
          </x14:cfRule>
          <xm:sqref>L8</xm:sqref>
        </x14:conditionalFormatting>
        <x14:conditionalFormatting xmlns:xm="http://schemas.microsoft.com/office/excel/2006/main">
          <x14:cfRule type="expression" priority="125" id="{DAD3CCC0-F428-4AE5-AB15-8C2FF1D04FBC}">
            <xm:f>入力!$B$14+1&lt;27</xm:f>
            <x14:dxf>
              <fill>
                <patternFill patternType="mediumGray"/>
              </fill>
            </x14:dxf>
          </x14:cfRule>
          <xm:sqref>M8</xm:sqref>
        </x14:conditionalFormatting>
        <x14:conditionalFormatting xmlns:xm="http://schemas.microsoft.com/office/excel/2006/main">
          <x14:cfRule type="expression" priority="124" id="{769AA6AD-1E53-4891-95B5-54F6F3E7A675}">
            <xm:f>入力!$B$14+2&lt;27</xm:f>
            <x14:dxf>
              <fill>
                <patternFill patternType="mediumGray"/>
              </fill>
            </x14:dxf>
          </x14:cfRule>
          <xm:sqref>N8</xm:sqref>
        </x14:conditionalFormatting>
        <x14:conditionalFormatting xmlns:xm="http://schemas.microsoft.com/office/excel/2006/main">
          <x14:cfRule type="expression" priority="123" id="{FFCC6B74-FDD4-4710-9AE9-CAF0B684FB64}">
            <xm:f>入力!$B$14+3&lt;27</xm:f>
            <x14:dxf>
              <fill>
                <patternFill patternType="mediumGray"/>
              </fill>
            </x14:dxf>
          </x14:cfRule>
          <xm:sqref>O8</xm:sqref>
        </x14:conditionalFormatting>
        <x14:conditionalFormatting xmlns:xm="http://schemas.microsoft.com/office/excel/2006/main">
          <x14:cfRule type="expression" priority="122" id="{5454E58A-F209-43CD-9018-C4E88C9C94B9}">
            <xm:f>入力!$B$14+4&lt;27</xm:f>
            <x14:dxf>
              <fill>
                <patternFill patternType="mediumGray"/>
              </fill>
            </x14:dxf>
          </x14:cfRule>
          <xm:sqref>P8</xm:sqref>
        </x14:conditionalFormatting>
        <x14:conditionalFormatting xmlns:xm="http://schemas.microsoft.com/office/excel/2006/main">
          <x14:cfRule type="expression" priority="121" id="{AC82C1C1-01A0-4C07-9A00-88E09CBFCA8B}">
            <xm:f>入力!$B$14-3&lt;27</xm:f>
            <x14:dxf>
              <fill>
                <patternFill patternType="mediumGray"/>
              </fill>
            </x14:dxf>
          </x14:cfRule>
          <xm:sqref>I20</xm:sqref>
        </x14:conditionalFormatting>
        <x14:conditionalFormatting xmlns:xm="http://schemas.microsoft.com/office/excel/2006/main">
          <x14:cfRule type="expression" priority="120" id="{45D229F0-5764-4F8D-BA0E-71D296A9A24D}">
            <xm:f>入力!$B$14-2&lt;27</xm:f>
            <x14:dxf>
              <fill>
                <patternFill patternType="mediumGray"/>
              </fill>
            </x14:dxf>
          </x14:cfRule>
          <xm:sqref>J20</xm:sqref>
        </x14:conditionalFormatting>
        <x14:conditionalFormatting xmlns:xm="http://schemas.microsoft.com/office/excel/2006/main">
          <x14:cfRule type="expression" priority="119" id="{EF9597C8-A48D-4179-9BF7-106DB9BD30D6}">
            <xm:f>入力!$B$14-1&lt;27</xm:f>
            <x14:dxf>
              <fill>
                <patternFill patternType="mediumGray"/>
              </fill>
            </x14:dxf>
          </x14:cfRule>
          <xm:sqref>K20</xm:sqref>
        </x14:conditionalFormatting>
        <x14:conditionalFormatting xmlns:xm="http://schemas.microsoft.com/office/excel/2006/main">
          <x14:cfRule type="expression" priority="118" id="{0C5AE3B4-E735-4E33-8776-D18EC0A56E6F}">
            <xm:f>入力!$B$14&lt;27</xm:f>
            <x14:dxf>
              <fill>
                <patternFill patternType="mediumGray"/>
              </fill>
            </x14:dxf>
          </x14:cfRule>
          <xm:sqref>L20</xm:sqref>
        </x14:conditionalFormatting>
        <x14:conditionalFormatting xmlns:xm="http://schemas.microsoft.com/office/excel/2006/main">
          <x14:cfRule type="expression" priority="117" id="{B379DC3B-FE6B-45DD-8040-AF68DD79B048}">
            <xm:f>入力!$B$14+1&lt;27</xm:f>
            <x14:dxf>
              <fill>
                <patternFill patternType="mediumGray"/>
              </fill>
            </x14:dxf>
          </x14:cfRule>
          <xm:sqref>M20</xm:sqref>
        </x14:conditionalFormatting>
        <x14:conditionalFormatting xmlns:xm="http://schemas.microsoft.com/office/excel/2006/main">
          <x14:cfRule type="expression" priority="116" id="{C2154CF6-3DD3-4204-8FCC-31C4F7780AC6}">
            <xm:f>入力!$B$14+2&lt;27</xm:f>
            <x14:dxf>
              <fill>
                <patternFill patternType="mediumGray"/>
              </fill>
            </x14:dxf>
          </x14:cfRule>
          <xm:sqref>N20</xm:sqref>
        </x14:conditionalFormatting>
        <x14:conditionalFormatting xmlns:xm="http://schemas.microsoft.com/office/excel/2006/main">
          <x14:cfRule type="expression" priority="115" id="{BD44D96A-C039-4329-81D2-C47BD235848E}">
            <xm:f>入力!$B$14+3&lt;27</xm:f>
            <x14:dxf>
              <fill>
                <patternFill patternType="mediumGray"/>
              </fill>
            </x14:dxf>
          </x14:cfRule>
          <xm:sqref>O20</xm:sqref>
        </x14:conditionalFormatting>
        <x14:conditionalFormatting xmlns:xm="http://schemas.microsoft.com/office/excel/2006/main">
          <x14:cfRule type="expression" priority="114" id="{1F02CC5C-C178-4B53-A2F6-0999BF4F2350}">
            <xm:f>入力!$B$14+4&lt;27</xm:f>
            <x14:dxf>
              <fill>
                <patternFill patternType="mediumGray"/>
              </fill>
            </x14:dxf>
          </x14:cfRule>
          <xm:sqref>P20</xm:sqref>
        </x14:conditionalFormatting>
        <x14:conditionalFormatting xmlns:xm="http://schemas.microsoft.com/office/excel/2006/main">
          <x14:cfRule type="expression" priority="113" id="{AC2DE5B5-4BFF-465B-9FD6-518E25CE39F2}">
            <xm:f>入力!$B$14-3&lt;27</xm:f>
            <x14:dxf>
              <fill>
                <patternFill patternType="mediumGray"/>
              </fill>
            </x14:dxf>
          </x14:cfRule>
          <xm:sqref>I21</xm:sqref>
        </x14:conditionalFormatting>
        <x14:conditionalFormatting xmlns:xm="http://schemas.microsoft.com/office/excel/2006/main">
          <x14:cfRule type="expression" priority="112" id="{3EB371E7-5054-45FA-B02B-9BE16AA1C435}">
            <xm:f>入力!$B$14-2&lt;27</xm:f>
            <x14:dxf>
              <fill>
                <patternFill patternType="mediumGray"/>
              </fill>
            </x14:dxf>
          </x14:cfRule>
          <xm:sqref>J21</xm:sqref>
        </x14:conditionalFormatting>
        <x14:conditionalFormatting xmlns:xm="http://schemas.microsoft.com/office/excel/2006/main">
          <x14:cfRule type="expression" priority="111" id="{8F80942D-C5E5-4698-BE9B-1776E0364E11}">
            <xm:f>入力!$B$14-1&lt;27</xm:f>
            <x14:dxf>
              <fill>
                <patternFill patternType="mediumGray"/>
              </fill>
            </x14:dxf>
          </x14:cfRule>
          <xm:sqref>K21</xm:sqref>
        </x14:conditionalFormatting>
        <x14:conditionalFormatting xmlns:xm="http://schemas.microsoft.com/office/excel/2006/main">
          <x14:cfRule type="expression" priority="110" id="{054CD063-D179-47D6-ACC5-EC0AB5E3537F}">
            <xm:f>入力!$B$14&lt;27</xm:f>
            <x14:dxf>
              <fill>
                <patternFill patternType="mediumGray"/>
              </fill>
            </x14:dxf>
          </x14:cfRule>
          <xm:sqref>L21</xm:sqref>
        </x14:conditionalFormatting>
        <x14:conditionalFormatting xmlns:xm="http://schemas.microsoft.com/office/excel/2006/main">
          <x14:cfRule type="expression" priority="109" id="{FEF98534-5D03-4061-B1A0-89102C82D22B}">
            <xm:f>入力!$B$14+1&lt;27</xm:f>
            <x14:dxf>
              <fill>
                <patternFill patternType="mediumGray"/>
              </fill>
            </x14:dxf>
          </x14:cfRule>
          <xm:sqref>M21</xm:sqref>
        </x14:conditionalFormatting>
        <x14:conditionalFormatting xmlns:xm="http://schemas.microsoft.com/office/excel/2006/main">
          <x14:cfRule type="expression" priority="108" id="{C0DA3D3A-C410-41CE-916C-EB255B7BA278}">
            <xm:f>入力!$B$14+2&lt;27</xm:f>
            <x14:dxf>
              <fill>
                <patternFill patternType="mediumGray"/>
              </fill>
            </x14:dxf>
          </x14:cfRule>
          <xm:sqref>N21</xm:sqref>
        </x14:conditionalFormatting>
        <x14:conditionalFormatting xmlns:xm="http://schemas.microsoft.com/office/excel/2006/main">
          <x14:cfRule type="expression" priority="107" id="{AE696695-DD99-4963-9D39-1943ED668ACF}">
            <xm:f>入力!$B$14+3&lt;27</xm:f>
            <x14:dxf>
              <fill>
                <patternFill patternType="mediumGray"/>
              </fill>
            </x14:dxf>
          </x14:cfRule>
          <xm:sqref>O21</xm:sqref>
        </x14:conditionalFormatting>
        <x14:conditionalFormatting xmlns:xm="http://schemas.microsoft.com/office/excel/2006/main">
          <x14:cfRule type="expression" priority="106" id="{C516642E-90B1-4096-B33B-4E2347F77FEF}">
            <xm:f>入力!$B$14+4&lt;27</xm:f>
            <x14:dxf>
              <fill>
                <patternFill patternType="mediumGray"/>
              </fill>
            </x14:dxf>
          </x14:cfRule>
          <xm:sqref>P21</xm:sqref>
        </x14:conditionalFormatting>
        <x14:conditionalFormatting xmlns:xm="http://schemas.microsoft.com/office/excel/2006/main">
          <x14:cfRule type="expression" priority="105" id="{E4907DA1-1551-41A2-A4C8-5844384E5788}">
            <xm:f>入力!$B$14-3&lt;27</xm:f>
            <x14:dxf>
              <fill>
                <patternFill patternType="mediumGray"/>
              </fill>
            </x14:dxf>
          </x14:cfRule>
          <xm:sqref>I24</xm:sqref>
        </x14:conditionalFormatting>
        <x14:conditionalFormatting xmlns:xm="http://schemas.microsoft.com/office/excel/2006/main">
          <x14:cfRule type="expression" priority="104" id="{D7D34B70-D2B5-4CBF-ADBD-7992E12C2FC5}">
            <xm:f>入力!$B$14-2&lt;27</xm:f>
            <x14:dxf>
              <fill>
                <patternFill patternType="mediumGray"/>
              </fill>
            </x14:dxf>
          </x14:cfRule>
          <xm:sqref>J24</xm:sqref>
        </x14:conditionalFormatting>
        <x14:conditionalFormatting xmlns:xm="http://schemas.microsoft.com/office/excel/2006/main">
          <x14:cfRule type="expression" priority="103" id="{1170EF6E-88F8-4EB5-B773-B91FA982C4A0}">
            <xm:f>入力!$B$14-1&lt;27</xm:f>
            <x14:dxf>
              <fill>
                <patternFill patternType="mediumGray"/>
              </fill>
            </x14:dxf>
          </x14:cfRule>
          <xm:sqref>K24</xm:sqref>
        </x14:conditionalFormatting>
        <x14:conditionalFormatting xmlns:xm="http://schemas.microsoft.com/office/excel/2006/main">
          <x14:cfRule type="expression" priority="102" id="{878FD089-9D3A-4D08-9E00-A17BE62EAC01}">
            <xm:f>入力!$B$14&lt;27</xm:f>
            <x14:dxf>
              <fill>
                <patternFill patternType="mediumGray"/>
              </fill>
            </x14:dxf>
          </x14:cfRule>
          <xm:sqref>L24</xm:sqref>
        </x14:conditionalFormatting>
        <x14:conditionalFormatting xmlns:xm="http://schemas.microsoft.com/office/excel/2006/main">
          <x14:cfRule type="expression" priority="101" id="{9CF87C56-9AC3-4169-8859-639FE249041C}">
            <xm:f>入力!$B$14+1&lt;27</xm:f>
            <x14:dxf>
              <fill>
                <patternFill patternType="mediumGray"/>
              </fill>
            </x14:dxf>
          </x14:cfRule>
          <xm:sqref>M24</xm:sqref>
        </x14:conditionalFormatting>
        <x14:conditionalFormatting xmlns:xm="http://schemas.microsoft.com/office/excel/2006/main">
          <x14:cfRule type="expression" priority="100" id="{EE529196-30EB-4978-AD3D-8FED8F269F92}">
            <xm:f>入力!$B$14+2&lt;27</xm:f>
            <x14:dxf>
              <fill>
                <patternFill patternType="mediumGray"/>
              </fill>
            </x14:dxf>
          </x14:cfRule>
          <xm:sqref>N24</xm:sqref>
        </x14:conditionalFormatting>
        <x14:conditionalFormatting xmlns:xm="http://schemas.microsoft.com/office/excel/2006/main">
          <x14:cfRule type="expression" priority="99" id="{FC56CB3F-1421-40C4-9A09-42F36E356CA6}">
            <xm:f>入力!$B$14+3&lt;27</xm:f>
            <x14:dxf>
              <fill>
                <patternFill patternType="mediumGray"/>
              </fill>
            </x14:dxf>
          </x14:cfRule>
          <xm:sqref>O24</xm:sqref>
        </x14:conditionalFormatting>
        <x14:conditionalFormatting xmlns:xm="http://schemas.microsoft.com/office/excel/2006/main">
          <x14:cfRule type="expression" priority="98" id="{E0E5365F-104D-4B01-9917-8558FBAA4E76}">
            <xm:f>入力!$B$14+4&lt;27</xm:f>
            <x14:dxf>
              <fill>
                <patternFill patternType="mediumGray"/>
              </fill>
            </x14:dxf>
          </x14:cfRule>
          <xm:sqref>P24</xm:sqref>
        </x14:conditionalFormatting>
        <x14:conditionalFormatting xmlns:xm="http://schemas.microsoft.com/office/excel/2006/main">
          <x14:cfRule type="expression" priority="97" id="{38783D8E-7B38-427B-91FA-77D53160A085}">
            <xm:f>入力!$B$14-3&lt;27</xm:f>
            <x14:dxf>
              <fill>
                <patternFill patternType="mediumGray"/>
              </fill>
            </x14:dxf>
          </x14:cfRule>
          <xm:sqref>I29</xm:sqref>
        </x14:conditionalFormatting>
        <x14:conditionalFormatting xmlns:xm="http://schemas.microsoft.com/office/excel/2006/main">
          <x14:cfRule type="expression" priority="96" id="{8017E9DB-1A81-4EC3-9EA7-AA60555ACFB4}">
            <xm:f>入力!$B$14-2&lt;27</xm:f>
            <x14:dxf>
              <fill>
                <patternFill patternType="mediumGray"/>
              </fill>
            </x14:dxf>
          </x14:cfRule>
          <xm:sqref>J29</xm:sqref>
        </x14:conditionalFormatting>
        <x14:conditionalFormatting xmlns:xm="http://schemas.microsoft.com/office/excel/2006/main">
          <x14:cfRule type="expression" priority="95" id="{87BD03F0-8D40-41B1-803A-C0424F3EE10B}">
            <xm:f>入力!$B$14-1&lt;27</xm:f>
            <x14:dxf>
              <fill>
                <patternFill patternType="mediumGray"/>
              </fill>
            </x14:dxf>
          </x14:cfRule>
          <xm:sqref>K29</xm:sqref>
        </x14:conditionalFormatting>
        <x14:conditionalFormatting xmlns:xm="http://schemas.microsoft.com/office/excel/2006/main">
          <x14:cfRule type="expression" priority="94" id="{80BACB72-60C1-452D-96F7-59DAE3A7286E}">
            <xm:f>入力!$B$14&lt;27</xm:f>
            <x14:dxf>
              <fill>
                <patternFill patternType="mediumGray"/>
              </fill>
            </x14:dxf>
          </x14:cfRule>
          <xm:sqref>L29</xm:sqref>
        </x14:conditionalFormatting>
        <x14:conditionalFormatting xmlns:xm="http://schemas.microsoft.com/office/excel/2006/main">
          <x14:cfRule type="expression" priority="93" id="{F33718C3-8E11-48FE-AC01-36D539EAF7FB}">
            <xm:f>入力!$B$14+1&lt;27</xm:f>
            <x14:dxf>
              <fill>
                <patternFill patternType="mediumGray"/>
              </fill>
            </x14:dxf>
          </x14:cfRule>
          <xm:sqref>M29</xm:sqref>
        </x14:conditionalFormatting>
        <x14:conditionalFormatting xmlns:xm="http://schemas.microsoft.com/office/excel/2006/main">
          <x14:cfRule type="expression" priority="92" id="{FED41E41-6B35-4C21-84EE-69654E5F30AC}">
            <xm:f>入力!$B$14+2&lt;27</xm:f>
            <x14:dxf>
              <fill>
                <patternFill patternType="mediumGray"/>
              </fill>
            </x14:dxf>
          </x14:cfRule>
          <xm:sqref>N29</xm:sqref>
        </x14:conditionalFormatting>
        <x14:conditionalFormatting xmlns:xm="http://schemas.microsoft.com/office/excel/2006/main">
          <x14:cfRule type="expression" priority="91" id="{71F887D6-57C5-4C81-8E5E-7067DE23D488}">
            <xm:f>入力!$B$14+3&lt;27</xm:f>
            <x14:dxf>
              <fill>
                <patternFill patternType="mediumGray"/>
              </fill>
            </x14:dxf>
          </x14:cfRule>
          <xm:sqref>O29</xm:sqref>
        </x14:conditionalFormatting>
        <x14:conditionalFormatting xmlns:xm="http://schemas.microsoft.com/office/excel/2006/main">
          <x14:cfRule type="expression" priority="90" id="{3BBA37DA-A4C8-4C80-998B-635360D67634}">
            <xm:f>入力!$B$14+4&lt;27</xm:f>
            <x14:dxf>
              <fill>
                <patternFill patternType="mediumGray"/>
              </fill>
            </x14:dxf>
          </x14:cfRule>
          <xm:sqref>P29</xm:sqref>
        </x14:conditionalFormatting>
        <x14:conditionalFormatting xmlns:xm="http://schemas.microsoft.com/office/excel/2006/main">
          <x14:cfRule type="expression" priority="89" id="{8E5AC3F2-7E18-40F8-9D54-A2757EA18D0A}">
            <xm:f>入力!$B$14-3&lt;27</xm:f>
            <x14:dxf>
              <fill>
                <patternFill patternType="mediumGray"/>
              </fill>
            </x14:dxf>
          </x14:cfRule>
          <xm:sqref>I32</xm:sqref>
        </x14:conditionalFormatting>
        <x14:conditionalFormatting xmlns:xm="http://schemas.microsoft.com/office/excel/2006/main">
          <x14:cfRule type="expression" priority="88" id="{67A4CC42-C8CA-4642-82E0-8408331EA0A2}">
            <xm:f>入力!$B$14-2&lt;27</xm:f>
            <x14:dxf>
              <fill>
                <patternFill patternType="mediumGray"/>
              </fill>
            </x14:dxf>
          </x14:cfRule>
          <xm:sqref>J32</xm:sqref>
        </x14:conditionalFormatting>
        <x14:conditionalFormatting xmlns:xm="http://schemas.microsoft.com/office/excel/2006/main">
          <x14:cfRule type="expression" priority="87" id="{4C6E24B2-753B-468C-BB63-7925017F03D9}">
            <xm:f>入力!$B$14-1&lt;27</xm:f>
            <x14:dxf>
              <fill>
                <patternFill patternType="mediumGray"/>
              </fill>
            </x14:dxf>
          </x14:cfRule>
          <xm:sqref>K32</xm:sqref>
        </x14:conditionalFormatting>
        <x14:conditionalFormatting xmlns:xm="http://schemas.microsoft.com/office/excel/2006/main">
          <x14:cfRule type="expression" priority="86" id="{C312BEEE-F3AB-457F-A053-143B2FDDB825}">
            <xm:f>入力!$B$14&lt;27</xm:f>
            <x14:dxf>
              <fill>
                <patternFill patternType="mediumGray"/>
              </fill>
            </x14:dxf>
          </x14:cfRule>
          <xm:sqref>L32</xm:sqref>
        </x14:conditionalFormatting>
        <x14:conditionalFormatting xmlns:xm="http://schemas.microsoft.com/office/excel/2006/main">
          <x14:cfRule type="expression" priority="85" id="{B726CE0E-4919-48BD-8150-B08863568A4F}">
            <xm:f>入力!$B$14+1&lt;27</xm:f>
            <x14:dxf>
              <fill>
                <patternFill patternType="mediumGray"/>
              </fill>
            </x14:dxf>
          </x14:cfRule>
          <xm:sqref>M32</xm:sqref>
        </x14:conditionalFormatting>
        <x14:conditionalFormatting xmlns:xm="http://schemas.microsoft.com/office/excel/2006/main">
          <x14:cfRule type="expression" priority="84" id="{CDB5EF31-4008-4DF9-A981-D9782BF56F83}">
            <xm:f>入力!$B$14+2&lt;27</xm:f>
            <x14:dxf>
              <fill>
                <patternFill patternType="mediumGray"/>
              </fill>
            </x14:dxf>
          </x14:cfRule>
          <xm:sqref>N32</xm:sqref>
        </x14:conditionalFormatting>
        <x14:conditionalFormatting xmlns:xm="http://schemas.microsoft.com/office/excel/2006/main">
          <x14:cfRule type="expression" priority="83" id="{950D94A9-ECEE-41FF-A111-87AA57ED6EF3}">
            <xm:f>入力!$B$14+3&lt;27</xm:f>
            <x14:dxf>
              <fill>
                <patternFill patternType="mediumGray"/>
              </fill>
            </x14:dxf>
          </x14:cfRule>
          <xm:sqref>O32</xm:sqref>
        </x14:conditionalFormatting>
        <x14:conditionalFormatting xmlns:xm="http://schemas.microsoft.com/office/excel/2006/main">
          <x14:cfRule type="expression" priority="82" id="{29DF15F6-069C-4AB0-A67F-A283C4B8B2BF}">
            <xm:f>入力!$B$14+4&lt;27</xm:f>
            <x14:dxf>
              <fill>
                <patternFill patternType="mediumGray"/>
              </fill>
            </x14:dxf>
          </x14:cfRule>
          <xm:sqref>P32</xm:sqref>
        </x14:conditionalFormatting>
        <x14:conditionalFormatting xmlns:xm="http://schemas.microsoft.com/office/excel/2006/main">
          <x14:cfRule type="expression" priority="7" id="{FA901F17-3132-4CBF-BCEB-D51FC4DFD4EB}">
            <xm:f>入力!$B$14+4&lt;27</xm:f>
            <x14:dxf>
              <fill>
                <patternFill patternType="mediumGray"/>
              </fill>
            </x14:dxf>
          </x14:cfRule>
          <xm:sqref>Q9</xm:sqref>
        </x14:conditionalFormatting>
        <x14:conditionalFormatting xmlns:xm="http://schemas.microsoft.com/office/excel/2006/main">
          <x14:cfRule type="expression" priority="6" id="{A816C295-6D36-4D5F-B576-1B2B7FBABD0E}">
            <xm:f>入力!$B$14+4&lt;27</xm:f>
            <x14:dxf>
              <fill>
                <patternFill patternType="mediumGray"/>
              </fill>
            </x14:dxf>
          </x14:cfRule>
          <xm:sqref>Q8</xm:sqref>
        </x14:conditionalFormatting>
        <x14:conditionalFormatting xmlns:xm="http://schemas.microsoft.com/office/excel/2006/main">
          <x14:cfRule type="expression" priority="4" id="{33E1ABE7-7352-4C7C-B0BB-17B1687197DF}">
            <xm:f>入力!$B$14+4&lt;27</xm:f>
            <x14:dxf>
              <fill>
                <patternFill patternType="mediumGray"/>
              </fill>
            </x14:dxf>
          </x14:cfRule>
          <xm:sqref>Q21</xm:sqref>
        </x14:conditionalFormatting>
        <x14:conditionalFormatting xmlns:xm="http://schemas.microsoft.com/office/excel/2006/main">
          <x14:cfRule type="expression" priority="3" id="{DA12389F-4A6E-45DF-A17D-36EB2C1491D8}">
            <xm:f>入力!$B$14+4&lt;27</xm:f>
            <x14:dxf>
              <fill>
                <patternFill patternType="mediumGray"/>
              </fill>
            </x14:dxf>
          </x14:cfRule>
          <xm:sqref>Q24</xm:sqref>
        </x14:conditionalFormatting>
        <x14:conditionalFormatting xmlns:xm="http://schemas.microsoft.com/office/excel/2006/main">
          <x14:cfRule type="expression" priority="2" id="{0AC924F6-277E-4D32-B6F7-6277A10336CD}">
            <xm:f>入力!$B$14+4&lt;27</xm:f>
            <x14:dxf>
              <fill>
                <patternFill patternType="mediumGray"/>
              </fill>
            </x14:dxf>
          </x14:cfRule>
          <xm:sqref>Q29</xm:sqref>
        </x14:conditionalFormatting>
        <x14:conditionalFormatting xmlns:xm="http://schemas.microsoft.com/office/excel/2006/main">
          <x14:cfRule type="expression" priority="1" id="{F459D837-FD7A-41F1-BB3A-82E3D8F3D464}">
            <xm:f>入力!$B$14+4&lt;27</xm:f>
            <x14:dxf>
              <fill>
                <patternFill patternType="mediumGray"/>
              </fill>
            </x14:dxf>
          </x14:cfRule>
          <xm:sqref>Q32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Q35"/>
  <sheetViews>
    <sheetView zoomScale="85" zoomScaleNormal="85" workbookViewId="0">
      <pane xSplit="8" ySplit="3" topLeftCell="I4" activePane="bottomRight" state="frozen"/>
      <selection activeCell="H18" sqref="H18"/>
      <selection pane="topRight" activeCell="H18" sqref="H18"/>
      <selection pane="bottomLeft" activeCell="H18" sqref="H18"/>
      <selection pane="bottomRight"/>
    </sheetView>
  </sheetViews>
  <sheetFormatPr defaultColWidth="5.21875" defaultRowHeight="13.2" x14ac:dyDescent="0.2"/>
  <cols>
    <col min="1" max="1" width="1.44140625" style="139" customWidth="1"/>
    <col min="2" max="2" width="1.77734375" style="696" customWidth="1"/>
    <col min="3" max="4" width="1.6640625" style="696" customWidth="1"/>
    <col min="5" max="5" width="3.88671875" style="696" customWidth="1"/>
    <col min="6" max="7" width="1.88671875" style="696" customWidth="1"/>
    <col min="8" max="8" width="35.77734375" style="696" customWidth="1"/>
    <col min="9" max="14" width="11.88671875" style="138" customWidth="1"/>
    <col min="15" max="15" width="12.109375" style="138" customWidth="1"/>
    <col min="16" max="16" width="13.109375" style="138" bestFit="1" customWidth="1"/>
    <col min="17" max="17" width="13.109375" style="696" customWidth="1"/>
    <col min="18" max="16384" width="5.21875" style="696"/>
  </cols>
  <sheetData>
    <row r="1" spans="1:17" ht="68.25" customHeight="1" x14ac:dyDescent="0.2">
      <c r="A1" s="17" t="s">
        <v>540</v>
      </c>
      <c r="I1" s="17" t="str">
        <f>CONCATENATE("（","法人番号：",入力!B2,"　　","法人名：",入力!B5,"）")</f>
        <v>（法人番号：131999　　法人名：東西大学）</v>
      </c>
      <c r="J1" s="126"/>
      <c r="K1" s="126"/>
      <c r="L1" s="126"/>
      <c r="M1" s="126"/>
      <c r="N1" s="126"/>
      <c r="O1" s="126"/>
      <c r="P1" s="694"/>
      <c r="Q1" s="694" t="s">
        <v>520</v>
      </c>
    </row>
    <row r="2" spans="1:17" ht="30" customHeight="1" thickBot="1" x14ac:dyDescent="0.25">
      <c r="A2" s="17"/>
      <c r="I2" s="78"/>
      <c r="J2" s="126"/>
      <c r="K2" s="126"/>
      <c r="L2" s="126"/>
      <c r="M2" s="126"/>
      <c r="N2" s="126"/>
      <c r="O2" s="126"/>
      <c r="P2" s="265"/>
      <c r="Q2" s="695" t="str">
        <f>入力!E18</f>
        <v>新規</v>
      </c>
    </row>
    <row r="3" spans="1:17" s="128" customFormat="1" ht="35.25" customHeight="1" thickTop="1" x14ac:dyDescent="0.2">
      <c r="A3" s="127"/>
      <c r="B3" s="697"/>
      <c r="C3" s="698" t="s">
        <v>521</v>
      </c>
      <c r="D3" s="699"/>
      <c r="E3" s="699"/>
      <c r="F3" s="699"/>
      <c r="G3" s="699"/>
      <c r="H3" s="699"/>
      <c r="I3" s="700" t="str">
        <f>VLOOKUP(入力!$I$14-3,和暦表示!$B$10:$D$35,3,FALSE)</f>
        <v>5年度実績</v>
      </c>
      <c r="J3" s="701" t="str">
        <f>VLOOKUP(入力!$I$14-2,和暦表示!$B$10:$D$35,3,FALSE)</f>
        <v>6年度実績</v>
      </c>
      <c r="K3" s="702" t="str">
        <f>VLOOKUP(入力!$I$14-1,和暦表示!$B$10:$D$35,3,FALSE)</f>
        <v>7年度実績</v>
      </c>
      <c r="L3" s="703" t="str">
        <f>VLOOKUP(入力!$I$14,和暦表示!$B$10:$D$35,3,FALSE)</f>
        <v>8年度見込</v>
      </c>
      <c r="M3" s="704" t="str">
        <f>VLOOKUP(入力!$I$14+1,和暦表示!$B$10:$D$35,3,FALSE)</f>
        <v>9年度見込</v>
      </c>
      <c r="N3" s="704" t="str">
        <f>VLOOKUP(入力!$I$14+2,和暦表示!$B$10:$D$35,3,FALSE)</f>
        <v>10年度見込</v>
      </c>
      <c r="O3" s="704" t="str">
        <f>VLOOKUP(入力!$I$14+3,和暦表示!$B$10:$D$35,3,FALSE)</f>
        <v>11年度見込</v>
      </c>
      <c r="P3" s="705" t="str">
        <f>VLOOKUP(入力!$I$14+4,和暦表示!$B$10:$D$35,3,FALSE)</f>
        <v>12年度見込</v>
      </c>
      <c r="Q3" s="706" t="str">
        <f>"当初最終年度
"&amp;VLOOKUP(入力!$I$8+4,和暦表示!$B$10:$D$35,3,FALSE)</f>
        <v>当初最終年度
12年度見込</v>
      </c>
    </row>
    <row r="4" spans="1:17" s="130" customFormat="1" ht="30.75" customHeight="1" x14ac:dyDescent="0.2">
      <c r="A4" s="129"/>
      <c r="B4" s="707"/>
      <c r="C4" s="708"/>
      <c r="D4" s="1056" t="s">
        <v>522</v>
      </c>
      <c r="E4" s="997"/>
      <c r="F4" s="997"/>
      <c r="G4" s="997"/>
      <c r="H4" s="997"/>
      <c r="I4" s="709"/>
      <c r="J4" s="710"/>
      <c r="K4" s="711"/>
      <c r="L4" s="709"/>
      <c r="M4" s="710"/>
      <c r="N4" s="710"/>
      <c r="O4" s="710"/>
      <c r="P4" s="712"/>
      <c r="Q4" s="713"/>
    </row>
    <row r="5" spans="1:17" s="130" customFormat="1" ht="30.75" customHeight="1" x14ac:dyDescent="0.2">
      <c r="A5" s="131"/>
      <c r="B5" s="132"/>
      <c r="C5" s="132"/>
      <c r="D5" s="133"/>
      <c r="E5" s="1060" t="s">
        <v>541</v>
      </c>
      <c r="F5" s="1060"/>
      <c r="G5" s="1060"/>
      <c r="H5" s="1070"/>
      <c r="I5" s="400"/>
      <c r="J5" s="398"/>
      <c r="K5" s="754"/>
      <c r="L5" s="397">
        <f t="shared" ref="L5:P5" si="0">SUM(L6:L11)</f>
        <v>0</v>
      </c>
      <c r="M5" s="746">
        <f t="shared" si="0"/>
        <v>0</v>
      </c>
      <c r="N5" s="398">
        <f t="shared" si="0"/>
        <v>0</v>
      </c>
      <c r="O5" s="398">
        <f t="shared" si="0"/>
        <v>0</v>
      </c>
      <c r="P5" s="746">
        <f t="shared" si="0"/>
        <v>0</v>
      </c>
      <c r="Q5" s="747">
        <f>SUM(Q6:Q11)</f>
        <v>0</v>
      </c>
    </row>
    <row r="6" spans="1:17" ht="30.75" customHeight="1" x14ac:dyDescent="0.2">
      <c r="A6" s="131"/>
      <c r="B6" s="132"/>
      <c r="C6" s="132"/>
      <c r="D6" s="132"/>
      <c r="F6" s="1058" t="s">
        <v>524</v>
      </c>
      <c r="G6" s="1059"/>
      <c r="H6" s="1068"/>
      <c r="I6" s="428"/>
      <c r="J6" s="429"/>
      <c r="K6" s="430"/>
      <c r="L6" s="428"/>
      <c r="M6" s="429"/>
      <c r="N6" s="429"/>
      <c r="O6" s="429"/>
      <c r="P6" s="448"/>
      <c r="Q6" s="449"/>
    </row>
    <row r="7" spans="1:17" ht="30.75" customHeight="1" x14ac:dyDescent="0.2">
      <c r="A7" s="131"/>
      <c r="B7" s="132"/>
      <c r="C7" s="132"/>
      <c r="D7" s="132"/>
      <c r="F7" s="1050" t="s">
        <v>525</v>
      </c>
      <c r="G7" s="984"/>
      <c r="H7" s="1069"/>
      <c r="I7" s="428"/>
      <c r="J7" s="429"/>
      <c r="K7" s="430"/>
      <c r="L7" s="428"/>
      <c r="M7" s="429"/>
      <c r="N7" s="429"/>
      <c r="O7" s="429"/>
      <c r="P7" s="448"/>
      <c r="Q7" s="449"/>
    </row>
    <row r="8" spans="1:17" ht="30.75" customHeight="1" x14ac:dyDescent="0.2">
      <c r="A8" s="131"/>
      <c r="B8" s="132"/>
      <c r="C8" s="132"/>
      <c r="D8" s="132"/>
      <c r="F8" s="1066" t="s">
        <v>542</v>
      </c>
      <c r="G8" s="985"/>
      <c r="H8" s="1067"/>
      <c r="I8" s="428"/>
      <c r="J8" s="429"/>
      <c r="K8" s="430"/>
      <c r="L8" s="428"/>
      <c r="M8" s="429"/>
      <c r="N8" s="429"/>
      <c r="O8" s="429"/>
      <c r="P8" s="448"/>
      <c r="Q8" s="449"/>
    </row>
    <row r="9" spans="1:17" ht="30.75" customHeight="1" x14ac:dyDescent="0.2">
      <c r="A9" s="131"/>
      <c r="B9" s="132"/>
      <c r="C9" s="132"/>
      <c r="D9" s="132"/>
      <c r="F9" s="1066" t="s">
        <v>543</v>
      </c>
      <c r="G9" s="985"/>
      <c r="H9" s="1067"/>
      <c r="I9" s="645"/>
      <c r="J9" s="646"/>
      <c r="K9" s="647"/>
      <c r="L9" s="714"/>
      <c r="M9" s="448"/>
      <c r="N9" s="429"/>
      <c r="O9" s="429"/>
      <c r="P9" s="429"/>
      <c r="Q9" s="449"/>
    </row>
    <row r="10" spans="1:17" ht="30.75" customHeight="1" x14ac:dyDescent="0.2">
      <c r="A10" s="131"/>
      <c r="B10" s="132"/>
      <c r="C10" s="132"/>
      <c r="D10" s="132"/>
      <c r="F10" s="1066" t="s">
        <v>544</v>
      </c>
      <c r="G10" s="985"/>
      <c r="H10" s="1067"/>
      <c r="I10" s="428"/>
      <c r="J10" s="429"/>
      <c r="K10" s="430"/>
      <c r="L10" s="428"/>
      <c r="M10" s="429"/>
      <c r="N10" s="429"/>
      <c r="O10" s="429"/>
      <c r="P10" s="448"/>
      <c r="Q10" s="449"/>
    </row>
    <row r="11" spans="1:17" ht="30.75" customHeight="1" x14ac:dyDescent="0.2">
      <c r="A11" s="131"/>
      <c r="B11" s="132"/>
      <c r="C11" s="132"/>
      <c r="D11" s="132"/>
      <c r="F11" s="1071" t="s">
        <v>545</v>
      </c>
      <c r="G11" s="1072"/>
      <c r="H11" s="1073"/>
      <c r="I11" s="428">
        <f>I5-I6-I7-I8-I9-I10</f>
        <v>0</v>
      </c>
      <c r="J11" s="429">
        <f>J5-J6-J7-J8-J9-J10</f>
        <v>0</v>
      </c>
      <c r="K11" s="430">
        <f>K5-K6-K7-K8-K9-K10</f>
        <v>0</v>
      </c>
      <c r="L11" s="428"/>
      <c r="M11" s="429"/>
      <c r="N11" s="429"/>
      <c r="O11" s="429"/>
      <c r="P11" s="448"/>
      <c r="Q11" s="449"/>
    </row>
    <row r="12" spans="1:17" ht="30.75" customHeight="1" x14ac:dyDescent="0.2">
      <c r="A12" s="131"/>
      <c r="B12" s="132"/>
      <c r="C12" s="132"/>
      <c r="D12" s="730"/>
      <c r="E12" s="1063" t="s">
        <v>546</v>
      </c>
      <c r="F12" s="1063"/>
      <c r="G12" s="1063"/>
      <c r="H12" s="1074"/>
      <c r="I12" s="748" t="s">
        <v>550</v>
      </c>
      <c r="J12" s="749"/>
      <c r="K12" s="750"/>
      <c r="L12" s="751"/>
      <c r="M12" s="749"/>
      <c r="N12" s="749"/>
      <c r="O12" s="749"/>
      <c r="P12" s="752"/>
      <c r="Q12" s="753" t="s">
        <v>551</v>
      </c>
    </row>
    <row r="13" spans="1:17" ht="30.75" customHeight="1" x14ac:dyDescent="0.2">
      <c r="A13" s="131"/>
      <c r="B13" s="132"/>
      <c r="C13" s="132"/>
      <c r="D13" s="137"/>
      <c r="E13" s="217"/>
      <c r="F13" s="1075" t="s">
        <v>549</v>
      </c>
      <c r="G13" s="1076"/>
      <c r="H13" s="1077"/>
      <c r="I13" s="428"/>
      <c r="J13" s="429"/>
      <c r="K13" s="430"/>
      <c r="L13" s="428"/>
      <c r="M13" s="429"/>
      <c r="N13" s="429"/>
      <c r="O13" s="429"/>
      <c r="P13" s="448"/>
      <c r="Q13" s="449"/>
    </row>
    <row r="14" spans="1:17" ht="30.75" customHeight="1" x14ac:dyDescent="0.2">
      <c r="A14" s="131"/>
      <c r="B14" s="132"/>
      <c r="C14" s="132"/>
      <c r="D14" s="132"/>
      <c r="E14" s="1063" t="s">
        <v>547</v>
      </c>
      <c r="F14" s="1063"/>
      <c r="G14" s="1063"/>
      <c r="H14" s="1074"/>
      <c r="I14" s="748" t="s">
        <v>550</v>
      </c>
      <c r="J14" s="749"/>
      <c r="K14" s="750"/>
      <c r="L14" s="751"/>
      <c r="M14" s="749"/>
      <c r="N14" s="749"/>
      <c r="O14" s="749"/>
      <c r="P14" s="752"/>
      <c r="Q14" s="753" t="s">
        <v>551</v>
      </c>
    </row>
    <row r="15" spans="1:17" ht="30.75" customHeight="1" x14ac:dyDescent="0.2">
      <c r="A15" s="131"/>
      <c r="B15" s="132"/>
      <c r="C15" s="132"/>
      <c r="D15" s="132"/>
      <c r="F15" s="1058" t="s">
        <v>523</v>
      </c>
      <c r="G15" s="1059"/>
      <c r="H15" s="1068"/>
      <c r="I15" s="428"/>
      <c r="J15" s="429"/>
      <c r="K15" s="430"/>
      <c r="L15" s="428"/>
      <c r="M15" s="429"/>
      <c r="N15" s="429"/>
      <c r="O15" s="429"/>
      <c r="P15" s="448"/>
      <c r="Q15" s="449"/>
    </row>
    <row r="16" spans="1:17" ht="30.75" customHeight="1" x14ac:dyDescent="0.2">
      <c r="A16" s="131"/>
      <c r="B16" s="132"/>
      <c r="C16" s="132"/>
      <c r="D16" s="132"/>
      <c r="F16" s="1066" t="s">
        <v>549</v>
      </c>
      <c r="G16" s="985"/>
      <c r="H16" s="1067"/>
      <c r="I16" s="428"/>
      <c r="J16" s="429"/>
      <c r="K16" s="430"/>
      <c r="L16" s="428"/>
      <c r="M16" s="429"/>
      <c r="N16" s="429"/>
      <c r="O16" s="429"/>
      <c r="P16" s="448"/>
      <c r="Q16" s="449"/>
    </row>
    <row r="17" spans="1:17" ht="30.75" customHeight="1" x14ac:dyDescent="0.2">
      <c r="A17" s="131"/>
      <c r="B17" s="132"/>
      <c r="C17" s="132"/>
      <c r="D17" s="243"/>
      <c r="E17" s="1078" t="s">
        <v>548</v>
      </c>
      <c r="F17" s="1078"/>
      <c r="G17" s="1078"/>
      <c r="H17" s="1079"/>
      <c r="I17" s="439"/>
      <c r="J17" s="440"/>
      <c r="K17" s="441"/>
      <c r="L17" s="439"/>
      <c r="M17" s="440"/>
      <c r="N17" s="440"/>
      <c r="O17" s="440"/>
      <c r="P17" s="453"/>
      <c r="Q17" s="431"/>
    </row>
    <row r="18" spans="1:17" ht="30.75" customHeight="1" x14ac:dyDescent="0.2">
      <c r="A18" s="131"/>
      <c r="B18" s="132"/>
      <c r="C18" s="715"/>
      <c r="D18" s="1048" t="s">
        <v>526</v>
      </c>
      <c r="E18" s="1048"/>
      <c r="F18" s="1048"/>
      <c r="G18" s="1048"/>
      <c r="H18" s="1049"/>
      <c r="I18" s="716">
        <f t="shared" ref="I18:P18" si="1">I5+I13+I15+I16+I17</f>
        <v>0</v>
      </c>
      <c r="J18" s="717">
        <f t="shared" si="1"/>
        <v>0</v>
      </c>
      <c r="K18" s="718">
        <f t="shared" si="1"/>
        <v>0</v>
      </c>
      <c r="L18" s="716">
        <f t="shared" si="1"/>
        <v>0</v>
      </c>
      <c r="M18" s="717">
        <f t="shared" si="1"/>
        <v>0</v>
      </c>
      <c r="N18" s="717">
        <f t="shared" si="1"/>
        <v>0</v>
      </c>
      <c r="O18" s="717">
        <f t="shared" si="1"/>
        <v>0</v>
      </c>
      <c r="P18" s="719">
        <f t="shared" si="1"/>
        <v>0</v>
      </c>
      <c r="Q18" s="745">
        <f>Q5+Q13+Q15+Q16+Q17</f>
        <v>0</v>
      </c>
    </row>
    <row r="19" spans="1:17" ht="30.75" customHeight="1" x14ac:dyDescent="0.2">
      <c r="A19" s="131"/>
      <c r="B19" s="132"/>
      <c r="C19" s="133"/>
      <c r="D19" s="1056" t="s">
        <v>527</v>
      </c>
      <c r="E19" s="997"/>
      <c r="F19" s="997"/>
      <c r="G19" s="997"/>
      <c r="H19" s="997"/>
      <c r="I19" s="383"/>
      <c r="J19" s="384"/>
      <c r="K19" s="385"/>
      <c r="L19" s="383"/>
      <c r="M19" s="384"/>
      <c r="N19" s="384"/>
      <c r="O19" s="384"/>
      <c r="P19" s="447"/>
      <c r="Q19" s="387"/>
    </row>
    <row r="20" spans="1:17" ht="30.75" customHeight="1" x14ac:dyDescent="0.2">
      <c r="A20" s="131"/>
      <c r="B20" s="132"/>
      <c r="C20" s="132"/>
      <c r="D20" s="133"/>
      <c r="E20" s="1060" t="s">
        <v>552</v>
      </c>
      <c r="F20" s="1061"/>
      <c r="G20" s="1061"/>
      <c r="H20" s="1062"/>
      <c r="I20" s="738" t="s">
        <v>550</v>
      </c>
      <c r="J20" s="739"/>
      <c r="K20" s="740"/>
      <c r="L20" s="741"/>
      <c r="M20" s="739"/>
      <c r="N20" s="739"/>
      <c r="O20" s="739"/>
      <c r="P20" s="742"/>
      <c r="Q20" s="743" t="s">
        <v>551</v>
      </c>
    </row>
    <row r="21" spans="1:17" ht="30.75" customHeight="1" x14ac:dyDescent="0.2">
      <c r="A21" s="131"/>
      <c r="B21" s="132"/>
      <c r="C21" s="132"/>
      <c r="D21" s="132"/>
      <c r="F21" s="1058" t="s">
        <v>532</v>
      </c>
      <c r="G21" s="1059"/>
      <c r="H21" s="1059"/>
      <c r="I21" s="395"/>
      <c r="J21" s="393"/>
      <c r="K21" s="432"/>
      <c r="L21" s="395"/>
      <c r="M21" s="393"/>
      <c r="N21" s="393"/>
      <c r="O21" s="393"/>
      <c r="P21" s="454"/>
      <c r="Q21" s="744"/>
    </row>
    <row r="22" spans="1:17" ht="30.75" customHeight="1" x14ac:dyDescent="0.2">
      <c r="A22" s="131"/>
      <c r="B22" s="132"/>
      <c r="C22" s="132"/>
      <c r="D22" s="132"/>
      <c r="F22" s="1050" t="s">
        <v>533</v>
      </c>
      <c r="G22" s="984"/>
      <c r="H22" s="984"/>
      <c r="I22" s="428"/>
      <c r="J22" s="429"/>
      <c r="K22" s="430"/>
      <c r="L22" s="428"/>
      <c r="M22" s="429"/>
      <c r="N22" s="429"/>
      <c r="O22" s="429"/>
      <c r="P22" s="448"/>
      <c r="Q22" s="449"/>
    </row>
    <row r="23" spans="1:17" ht="30.75" customHeight="1" x14ac:dyDescent="0.2">
      <c r="A23" s="131"/>
      <c r="B23" s="132"/>
      <c r="C23" s="132"/>
      <c r="D23" s="132"/>
      <c r="F23" s="1057" t="s">
        <v>534</v>
      </c>
      <c r="G23" s="986"/>
      <c r="H23" s="986"/>
      <c r="I23" s="420"/>
      <c r="J23" s="421"/>
      <c r="K23" s="422"/>
      <c r="L23" s="420"/>
      <c r="M23" s="421"/>
      <c r="N23" s="421"/>
      <c r="O23" s="421"/>
      <c r="P23" s="451"/>
      <c r="Q23" s="404"/>
    </row>
    <row r="24" spans="1:17" ht="30.75" customHeight="1" x14ac:dyDescent="0.2">
      <c r="A24" s="131"/>
      <c r="B24" s="132"/>
      <c r="C24" s="132"/>
      <c r="D24" s="730"/>
      <c r="E24" s="1063" t="s">
        <v>553</v>
      </c>
      <c r="F24" s="1064"/>
      <c r="G24" s="1064"/>
      <c r="H24" s="1065"/>
      <c r="I24" s="731" t="s">
        <v>550</v>
      </c>
      <c r="J24" s="732"/>
      <c r="K24" s="733"/>
      <c r="L24" s="734"/>
      <c r="M24" s="732"/>
      <c r="N24" s="732"/>
      <c r="O24" s="732"/>
      <c r="P24" s="735"/>
      <c r="Q24" s="736" t="s">
        <v>551</v>
      </c>
    </row>
    <row r="25" spans="1:17" ht="30.75" customHeight="1" x14ac:dyDescent="0.2">
      <c r="A25" s="131"/>
      <c r="B25" s="132"/>
      <c r="C25" s="132"/>
      <c r="D25" s="132"/>
      <c r="F25" s="1058" t="s">
        <v>528</v>
      </c>
      <c r="G25" s="1059"/>
      <c r="H25" s="1059"/>
      <c r="I25" s="395"/>
      <c r="J25" s="393"/>
      <c r="K25" s="432"/>
      <c r="L25" s="395"/>
      <c r="M25" s="393"/>
      <c r="N25" s="393"/>
      <c r="O25" s="393"/>
      <c r="P25" s="454"/>
      <c r="Q25" s="744"/>
    </row>
    <row r="26" spans="1:17" ht="30.75" customHeight="1" x14ac:dyDescent="0.2">
      <c r="A26" s="131"/>
      <c r="B26" s="132"/>
      <c r="C26" s="132"/>
      <c r="D26" s="132"/>
      <c r="F26" s="1050" t="s">
        <v>529</v>
      </c>
      <c r="G26" s="984"/>
      <c r="H26" s="984"/>
      <c r="I26" s="428"/>
      <c r="J26" s="429"/>
      <c r="K26" s="430"/>
      <c r="L26" s="428"/>
      <c r="M26" s="429"/>
      <c r="N26" s="429"/>
      <c r="O26" s="429"/>
      <c r="P26" s="448"/>
      <c r="Q26" s="449"/>
    </row>
    <row r="27" spans="1:17" ht="30.75" customHeight="1" x14ac:dyDescent="0.2">
      <c r="A27" s="131"/>
      <c r="B27" s="132"/>
      <c r="C27" s="132"/>
      <c r="D27" s="132"/>
      <c r="F27" s="1050" t="s">
        <v>530</v>
      </c>
      <c r="G27" s="984"/>
      <c r="H27" s="984"/>
      <c r="I27" s="428"/>
      <c r="J27" s="429"/>
      <c r="K27" s="430"/>
      <c r="L27" s="428"/>
      <c r="M27" s="429"/>
      <c r="N27" s="429"/>
      <c r="O27" s="429"/>
      <c r="P27" s="448"/>
      <c r="Q27" s="449"/>
    </row>
    <row r="28" spans="1:17" ht="30.75" customHeight="1" x14ac:dyDescent="0.2">
      <c r="A28" s="131"/>
      <c r="B28" s="132"/>
      <c r="C28" s="132"/>
      <c r="D28" s="715"/>
      <c r="E28" s="737"/>
      <c r="F28" s="1051" t="s">
        <v>531</v>
      </c>
      <c r="G28" s="1052"/>
      <c r="H28" s="1052"/>
      <c r="I28" s="716"/>
      <c r="J28" s="717"/>
      <c r="K28" s="718"/>
      <c r="L28" s="716"/>
      <c r="M28" s="717"/>
      <c r="N28" s="717"/>
      <c r="O28" s="717"/>
      <c r="P28" s="719"/>
      <c r="Q28" s="745"/>
    </row>
    <row r="29" spans="1:17" s="130" customFormat="1" ht="30.75" customHeight="1" x14ac:dyDescent="0.2">
      <c r="A29" s="129"/>
      <c r="B29" s="707"/>
      <c r="C29" s="720"/>
      <c r="D29" s="1053" t="s">
        <v>535</v>
      </c>
      <c r="E29" s="1053"/>
      <c r="F29" s="1053"/>
      <c r="G29" s="1053"/>
      <c r="H29" s="1053"/>
      <c r="I29" s="721">
        <f t="shared" ref="I29:Q29" si="2">I21+I22+I23+I25+I26+I27+I28</f>
        <v>0</v>
      </c>
      <c r="J29" s="722">
        <f t="shared" si="2"/>
        <v>0</v>
      </c>
      <c r="K29" s="723">
        <f t="shared" si="2"/>
        <v>0</v>
      </c>
      <c r="L29" s="721">
        <f t="shared" si="2"/>
        <v>0</v>
      </c>
      <c r="M29" s="722">
        <f t="shared" si="2"/>
        <v>0</v>
      </c>
      <c r="N29" s="722">
        <f t="shared" si="2"/>
        <v>0</v>
      </c>
      <c r="O29" s="722">
        <f t="shared" si="2"/>
        <v>0</v>
      </c>
      <c r="P29" s="724">
        <f t="shared" si="2"/>
        <v>0</v>
      </c>
      <c r="Q29" s="725">
        <f t="shared" si="2"/>
        <v>0</v>
      </c>
    </row>
    <row r="30" spans="1:17" ht="30.75" customHeight="1" x14ac:dyDescent="0.2">
      <c r="A30" s="131"/>
      <c r="B30" s="720"/>
      <c r="C30" s="1054" t="s">
        <v>536</v>
      </c>
      <c r="D30" s="1055"/>
      <c r="E30" s="1055"/>
      <c r="F30" s="1055"/>
      <c r="G30" s="1055"/>
      <c r="H30" s="1055"/>
      <c r="I30" s="721">
        <f t="shared" ref="I30:Q30" si="3">I18-I29</f>
        <v>0</v>
      </c>
      <c r="J30" s="722">
        <f t="shared" si="3"/>
        <v>0</v>
      </c>
      <c r="K30" s="723">
        <f t="shared" si="3"/>
        <v>0</v>
      </c>
      <c r="L30" s="721">
        <f>L18-L29</f>
        <v>0</v>
      </c>
      <c r="M30" s="722">
        <f t="shared" si="3"/>
        <v>0</v>
      </c>
      <c r="N30" s="722">
        <f t="shared" si="3"/>
        <v>0</v>
      </c>
      <c r="O30" s="722">
        <f t="shared" si="3"/>
        <v>0</v>
      </c>
      <c r="P30" s="724">
        <f t="shared" si="3"/>
        <v>0</v>
      </c>
      <c r="Q30" s="725">
        <f t="shared" si="3"/>
        <v>0</v>
      </c>
    </row>
    <row r="31" spans="1:17" ht="30.75" customHeight="1" x14ac:dyDescent="0.2">
      <c r="A31" s="131"/>
      <c r="B31" s="132"/>
      <c r="C31" s="1047"/>
      <c r="D31" s="1047"/>
      <c r="E31" s="1047"/>
      <c r="F31" s="1047"/>
      <c r="G31" s="1047"/>
      <c r="H31" s="1047"/>
      <c r="I31" s="428"/>
      <c r="J31" s="429"/>
      <c r="K31" s="430"/>
      <c r="L31" s="428"/>
      <c r="M31" s="429"/>
      <c r="N31" s="429"/>
      <c r="O31" s="429"/>
      <c r="P31" s="448"/>
      <c r="Q31" s="449"/>
    </row>
    <row r="32" spans="1:17" ht="30.75" customHeight="1" x14ac:dyDescent="0.2">
      <c r="A32" s="131"/>
      <c r="B32" s="132"/>
      <c r="C32" s="1047" t="s">
        <v>537</v>
      </c>
      <c r="D32" s="1047"/>
      <c r="E32" s="1047"/>
      <c r="F32" s="1047"/>
      <c r="G32" s="1047"/>
      <c r="H32" s="1047"/>
      <c r="I32" s="726">
        <f>様式6!I19</f>
        <v>0</v>
      </c>
      <c r="J32" s="719">
        <f>様式6!J19</f>
        <v>0</v>
      </c>
      <c r="K32" s="718">
        <f>様式6!K19</f>
        <v>0</v>
      </c>
      <c r="L32" s="726">
        <f>様式6!L19</f>
        <v>0</v>
      </c>
      <c r="M32" s="717">
        <f>様式6!M19</f>
        <v>0</v>
      </c>
      <c r="N32" s="717">
        <f>様式6!N19</f>
        <v>0</v>
      </c>
      <c r="O32" s="717">
        <f>様式6!O19</f>
        <v>0</v>
      </c>
      <c r="P32" s="727">
        <f>様式6!P19</f>
        <v>0</v>
      </c>
      <c r="Q32" s="449">
        <f>様式6!Q19</f>
        <v>0</v>
      </c>
    </row>
    <row r="33" spans="1:17" ht="30.75" customHeight="1" x14ac:dyDescent="0.2">
      <c r="A33" s="131"/>
      <c r="B33" s="728"/>
      <c r="C33" s="1043" t="s">
        <v>538</v>
      </c>
      <c r="D33" s="1044"/>
      <c r="E33" s="1044"/>
      <c r="F33" s="1044"/>
      <c r="G33" s="1044"/>
      <c r="H33" s="1044"/>
      <c r="I33" s="405" t="str">
        <f t="shared" ref="I33:Q33" si="4">IF(AND(I32&lt;0,I30&gt;0),I30/I32*-1,"")</f>
        <v/>
      </c>
      <c r="J33" s="406" t="str">
        <f t="shared" si="4"/>
        <v/>
      </c>
      <c r="K33" s="480" t="str">
        <f t="shared" si="4"/>
        <v/>
      </c>
      <c r="L33" s="405" t="str">
        <f t="shared" si="4"/>
        <v/>
      </c>
      <c r="M33" s="406" t="str">
        <f t="shared" si="4"/>
        <v/>
      </c>
      <c r="N33" s="406" t="str">
        <f t="shared" si="4"/>
        <v/>
      </c>
      <c r="O33" s="406" t="str">
        <f t="shared" si="4"/>
        <v/>
      </c>
      <c r="P33" s="480" t="str">
        <f t="shared" si="4"/>
        <v/>
      </c>
      <c r="Q33" s="408" t="str">
        <f t="shared" si="4"/>
        <v/>
      </c>
    </row>
    <row r="34" spans="1:17" ht="30.75" customHeight="1" thickBot="1" x14ac:dyDescent="0.25">
      <c r="A34" s="131"/>
      <c r="B34" s="715"/>
      <c r="C34" s="1045" t="s">
        <v>539</v>
      </c>
      <c r="D34" s="1046"/>
      <c r="E34" s="1046"/>
      <c r="F34" s="1046"/>
      <c r="G34" s="1046"/>
      <c r="H34" s="1046"/>
      <c r="I34" s="405" t="str">
        <f t="shared" ref="I34:Q34" si="5">IF(AND(I32&gt;0,I30&lt;0),I30/I32*-1,"")</f>
        <v/>
      </c>
      <c r="J34" s="406" t="str">
        <f t="shared" si="5"/>
        <v/>
      </c>
      <c r="K34" s="480" t="str">
        <f t="shared" si="5"/>
        <v/>
      </c>
      <c r="L34" s="405" t="str">
        <f t="shared" si="5"/>
        <v/>
      </c>
      <c r="M34" s="406" t="str">
        <f t="shared" si="5"/>
        <v/>
      </c>
      <c r="N34" s="406" t="str">
        <f t="shared" si="5"/>
        <v/>
      </c>
      <c r="O34" s="406" t="str">
        <f t="shared" si="5"/>
        <v/>
      </c>
      <c r="P34" s="480" t="str">
        <f t="shared" si="5"/>
        <v/>
      </c>
      <c r="Q34" s="729" t="str">
        <f t="shared" si="5"/>
        <v/>
      </c>
    </row>
    <row r="35" spans="1:17" ht="18.75" customHeight="1" thickTop="1" x14ac:dyDescent="0.2">
      <c r="A35" s="131"/>
    </row>
  </sheetData>
  <mergeCells count="31">
    <mergeCell ref="E24:H24"/>
    <mergeCell ref="F10:H10"/>
    <mergeCell ref="D4:H4"/>
    <mergeCell ref="F6:H6"/>
    <mergeCell ref="F7:H7"/>
    <mergeCell ref="F8:H8"/>
    <mergeCell ref="F9:H9"/>
    <mergeCell ref="E5:H5"/>
    <mergeCell ref="F11:H11"/>
    <mergeCell ref="F15:H15"/>
    <mergeCell ref="F16:H16"/>
    <mergeCell ref="E12:H12"/>
    <mergeCell ref="F13:H13"/>
    <mergeCell ref="E14:H14"/>
    <mergeCell ref="E17:H17"/>
    <mergeCell ref="C33:H33"/>
    <mergeCell ref="C34:H34"/>
    <mergeCell ref="C31:H31"/>
    <mergeCell ref="C32:H32"/>
    <mergeCell ref="D18:H18"/>
    <mergeCell ref="F27:H27"/>
    <mergeCell ref="F28:H28"/>
    <mergeCell ref="D29:H29"/>
    <mergeCell ref="C30:H30"/>
    <mergeCell ref="D19:H19"/>
    <mergeCell ref="F22:H22"/>
    <mergeCell ref="F23:H23"/>
    <mergeCell ref="F25:H25"/>
    <mergeCell ref="F26:H26"/>
    <mergeCell ref="E20:H20"/>
    <mergeCell ref="F21:H21"/>
  </mergeCells>
  <phoneticPr fontId="1"/>
  <conditionalFormatting sqref="L3:Q3">
    <cfRule type="cellIs" dxfId="33" priority="33" stopIfTrue="1" operator="between">
      <formula>"実績"</formula>
      <formula>"実績"</formula>
    </cfRule>
    <cfRule type="cellIs" dxfId="32" priority="34" stopIfTrue="1" operator="between">
      <formula>"見込"</formula>
      <formula>"見込"</formula>
    </cfRule>
  </conditionalFormatting>
  <pageMargins left="0.62" right="0.2" top="0.85" bottom="0.37" header="0.56999999999999995" footer="0.21"/>
  <pageSetup paperSize="9" scale="59" orientation="portrait" r:id="rId1"/>
  <headerFooter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expression" priority="30" id="{E4294261-9251-4678-A3C1-AEFE0FF95F95}">
            <xm:f>入力!#REF!-1&lt;27</xm:f>
            <x14:dxf>
              <fill>
                <patternFill patternType="mediumGray"/>
              </fill>
            </x14:dxf>
          </x14:cfRule>
          <xm:sqref>K9</xm:sqref>
        </x14:conditionalFormatting>
        <x14:conditionalFormatting xmlns:xm="http://schemas.microsoft.com/office/excel/2006/main">
          <x14:cfRule type="expression" priority="32" id="{7728AB31-6CFB-44A4-BF5C-F7942F0B66ED}">
            <xm:f>入力!#REF!-3&lt;27</xm:f>
            <x14:dxf>
              <fill>
                <patternFill patternType="mediumGray"/>
              </fill>
            </x14:dxf>
          </x14:cfRule>
          <xm:sqref>I9</xm:sqref>
        </x14:conditionalFormatting>
        <x14:conditionalFormatting xmlns:xm="http://schemas.microsoft.com/office/excel/2006/main">
          <x14:cfRule type="expression" priority="31" id="{65067E6F-7577-49EE-A1E7-D11584796977}">
            <xm:f>入力!#REF!-2&lt;27</xm:f>
            <x14:dxf>
              <fill>
                <patternFill patternType="mediumGray"/>
              </fill>
            </x14:dxf>
          </x14:cfRule>
          <xm:sqref>J9</xm:sqref>
        </x14:conditionalFormatting>
        <x14:conditionalFormatting xmlns:xm="http://schemas.microsoft.com/office/excel/2006/main">
          <x14:cfRule type="expression" priority="29" id="{507BC68C-118C-4BC5-B576-B8D8B240EE51}">
            <xm:f>入力!#REF!-3&lt;27</xm:f>
            <x14:dxf>
              <fill>
                <patternFill patternType="mediumGray"/>
              </fill>
            </x14:dxf>
          </x14:cfRule>
          <xm:sqref>I32</xm:sqref>
        </x14:conditionalFormatting>
        <x14:conditionalFormatting xmlns:xm="http://schemas.microsoft.com/office/excel/2006/main">
          <x14:cfRule type="expression" priority="28" id="{BEF86C69-B2AD-4C32-BD6D-100542630AF9}">
            <xm:f>入力!#REF!-2&lt;27</xm:f>
            <x14:dxf>
              <fill>
                <patternFill patternType="mediumGray"/>
              </fill>
            </x14:dxf>
          </x14:cfRule>
          <xm:sqref>J32</xm:sqref>
        </x14:conditionalFormatting>
        <x14:conditionalFormatting xmlns:xm="http://schemas.microsoft.com/office/excel/2006/main">
          <x14:cfRule type="expression" priority="27" id="{6FC9CA59-994D-486B-A671-7FA0375DD377}">
            <xm:f>入力!#REF!-1&lt;27</xm:f>
            <x14:dxf>
              <fill>
                <patternFill patternType="mediumGray"/>
              </fill>
            </x14:dxf>
          </x14:cfRule>
          <xm:sqref>K32</xm:sqref>
        </x14:conditionalFormatting>
        <x14:conditionalFormatting xmlns:xm="http://schemas.microsoft.com/office/excel/2006/main">
          <x14:cfRule type="expression" priority="26" id="{1A0D692B-36DA-49B8-B878-25242C970A94}">
            <xm:f>入力!#REF!&lt;27</xm:f>
            <x14:dxf>
              <fill>
                <patternFill patternType="mediumGray"/>
              </fill>
            </x14:dxf>
          </x14:cfRule>
          <xm:sqref>L9</xm:sqref>
        </x14:conditionalFormatting>
        <x14:conditionalFormatting xmlns:xm="http://schemas.microsoft.com/office/excel/2006/main">
          <x14:cfRule type="expression" priority="25" id="{00EA75F2-5E7A-4C5D-B399-1C440C92AC12}">
            <xm:f>入力!#REF!+1&lt;27</xm:f>
            <x14:dxf>
              <fill>
                <patternFill patternType="mediumGray"/>
              </fill>
            </x14:dxf>
          </x14:cfRule>
          <xm:sqref>M9</xm:sqref>
        </x14:conditionalFormatting>
        <x14:conditionalFormatting xmlns:xm="http://schemas.microsoft.com/office/excel/2006/main">
          <x14:cfRule type="expression" priority="24" id="{36CD82C3-70BC-45E5-9012-30A0569EB333}">
            <xm:f>入力!#REF!+2&lt;27</xm:f>
            <x14:dxf>
              <fill>
                <patternFill patternType="mediumGray"/>
              </fill>
            </x14:dxf>
          </x14:cfRule>
          <xm:sqref>N9</xm:sqref>
        </x14:conditionalFormatting>
        <x14:conditionalFormatting xmlns:xm="http://schemas.microsoft.com/office/excel/2006/main">
          <x14:cfRule type="expression" priority="23" id="{FE701532-8E6F-4672-9A5B-FC53F75769D7}">
            <xm:f>入力!#REF!+3&lt;27</xm:f>
            <x14:dxf>
              <fill>
                <patternFill patternType="mediumGray"/>
              </fill>
            </x14:dxf>
          </x14:cfRule>
          <xm:sqref>O9</xm:sqref>
        </x14:conditionalFormatting>
        <x14:conditionalFormatting xmlns:xm="http://schemas.microsoft.com/office/excel/2006/main">
          <x14:cfRule type="expression" priority="22" id="{2B7A1524-6B3C-476A-86FB-84EF62C8DC48}">
            <xm:f>入力!#REF!+4&lt;27</xm:f>
            <x14:dxf>
              <fill>
                <patternFill patternType="mediumGray"/>
              </fill>
            </x14:dxf>
          </x14:cfRule>
          <xm:sqref>P9</xm:sqref>
        </x14:conditionalFormatting>
        <x14:conditionalFormatting xmlns:xm="http://schemas.microsoft.com/office/excel/2006/main">
          <x14:cfRule type="expression" priority="21" id="{41997D25-D131-412F-8EFE-AF26F296DB3B}">
            <xm:f>入力!#REF!-3&lt;27</xm:f>
            <x14:dxf>
              <fill>
                <patternFill patternType="mediumGray"/>
              </fill>
            </x14:dxf>
          </x14:cfRule>
          <xm:sqref>I33</xm:sqref>
        </x14:conditionalFormatting>
        <x14:conditionalFormatting xmlns:xm="http://schemas.microsoft.com/office/excel/2006/main">
          <x14:cfRule type="expression" priority="20" id="{6349BB1A-1F21-479B-810A-8DBF9B134D27}">
            <xm:f>入力!#REF!-2&lt;27</xm:f>
            <x14:dxf>
              <fill>
                <patternFill patternType="mediumGray"/>
              </fill>
            </x14:dxf>
          </x14:cfRule>
          <xm:sqref>J33</xm:sqref>
        </x14:conditionalFormatting>
        <x14:conditionalFormatting xmlns:xm="http://schemas.microsoft.com/office/excel/2006/main">
          <x14:cfRule type="expression" priority="19" id="{325A3B84-F42B-4810-8C14-62B102FEE8D6}">
            <xm:f>入力!#REF!-1&lt;27</xm:f>
            <x14:dxf>
              <fill>
                <patternFill patternType="mediumGray"/>
              </fill>
            </x14:dxf>
          </x14:cfRule>
          <xm:sqref>K33</xm:sqref>
        </x14:conditionalFormatting>
        <x14:conditionalFormatting xmlns:xm="http://schemas.microsoft.com/office/excel/2006/main">
          <x14:cfRule type="expression" priority="18" id="{98934302-E8BE-42CD-B430-BE63BCF87397}">
            <xm:f>入力!#REF!&lt;27</xm:f>
            <x14:dxf>
              <fill>
                <patternFill patternType="mediumGray"/>
              </fill>
            </x14:dxf>
          </x14:cfRule>
          <xm:sqref>L33</xm:sqref>
        </x14:conditionalFormatting>
        <x14:conditionalFormatting xmlns:xm="http://schemas.microsoft.com/office/excel/2006/main">
          <x14:cfRule type="expression" priority="17" id="{3DC2437F-F45E-4097-9A98-A0909C9D4493}">
            <xm:f>入力!#REF!+1&lt;27</xm:f>
            <x14:dxf>
              <fill>
                <patternFill patternType="mediumGray"/>
              </fill>
            </x14:dxf>
          </x14:cfRule>
          <xm:sqref>M33</xm:sqref>
        </x14:conditionalFormatting>
        <x14:conditionalFormatting xmlns:xm="http://schemas.microsoft.com/office/excel/2006/main">
          <x14:cfRule type="expression" priority="16" id="{51B70125-6ABD-488C-8F86-574204A5CA05}">
            <xm:f>入力!#REF!+2&lt;27</xm:f>
            <x14:dxf>
              <fill>
                <patternFill patternType="mediumGray"/>
              </fill>
            </x14:dxf>
          </x14:cfRule>
          <xm:sqref>N33</xm:sqref>
        </x14:conditionalFormatting>
        <x14:conditionalFormatting xmlns:xm="http://schemas.microsoft.com/office/excel/2006/main">
          <x14:cfRule type="expression" priority="15" id="{FAD058C9-DDB5-4102-8DD0-FC225080C753}">
            <xm:f>入力!#REF!+3&lt;27</xm:f>
            <x14:dxf>
              <fill>
                <patternFill patternType="mediumGray"/>
              </fill>
            </x14:dxf>
          </x14:cfRule>
          <xm:sqref>O33</xm:sqref>
        </x14:conditionalFormatting>
        <x14:conditionalFormatting xmlns:xm="http://schemas.microsoft.com/office/excel/2006/main">
          <x14:cfRule type="expression" priority="14" id="{6AB143FC-BAF0-48EA-B412-1E4238137DCE}">
            <xm:f>入力!#REF!+4&lt;27</xm:f>
            <x14:dxf>
              <fill>
                <patternFill patternType="mediumGray"/>
              </fill>
            </x14:dxf>
          </x14:cfRule>
          <xm:sqref>P33</xm:sqref>
        </x14:conditionalFormatting>
        <x14:conditionalFormatting xmlns:xm="http://schemas.microsoft.com/office/excel/2006/main">
          <x14:cfRule type="expression" priority="13" id="{C6E4450B-724D-4392-9AF9-6FA84C3CB95E}">
            <xm:f>入力!#REF!-3&lt;27</xm:f>
            <x14:dxf>
              <fill>
                <patternFill patternType="mediumGray"/>
              </fill>
            </x14:dxf>
          </x14:cfRule>
          <xm:sqref>I34</xm:sqref>
        </x14:conditionalFormatting>
        <x14:conditionalFormatting xmlns:xm="http://schemas.microsoft.com/office/excel/2006/main">
          <x14:cfRule type="expression" priority="12" id="{158212E5-8082-4E76-80F4-9BA0E8E6B828}">
            <xm:f>入力!#REF!-2&lt;27</xm:f>
            <x14:dxf>
              <fill>
                <patternFill patternType="mediumGray"/>
              </fill>
            </x14:dxf>
          </x14:cfRule>
          <xm:sqref>J34</xm:sqref>
        </x14:conditionalFormatting>
        <x14:conditionalFormatting xmlns:xm="http://schemas.microsoft.com/office/excel/2006/main">
          <x14:cfRule type="expression" priority="11" id="{720C7028-AC4D-431A-812C-CF33776FE39B}">
            <xm:f>入力!#REF!-1&lt;27</xm:f>
            <x14:dxf>
              <fill>
                <patternFill patternType="mediumGray"/>
              </fill>
            </x14:dxf>
          </x14:cfRule>
          <xm:sqref>K34</xm:sqref>
        </x14:conditionalFormatting>
        <x14:conditionalFormatting xmlns:xm="http://schemas.microsoft.com/office/excel/2006/main">
          <x14:cfRule type="expression" priority="10" id="{01919A30-5D14-4B71-A460-A7FC5D7AEB04}">
            <xm:f>入力!#REF!&lt;27</xm:f>
            <x14:dxf>
              <fill>
                <patternFill patternType="mediumGray"/>
              </fill>
            </x14:dxf>
          </x14:cfRule>
          <xm:sqref>L34</xm:sqref>
        </x14:conditionalFormatting>
        <x14:conditionalFormatting xmlns:xm="http://schemas.microsoft.com/office/excel/2006/main">
          <x14:cfRule type="expression" priority="9" id="{9059DD0C-E501-46B3-BCDD-3739422AA8F7}">
            <xm:f>入力!#REF!+1&lt;27</xm:f>
            <x14:dxf>
              <fill>
                <patternFill patternType="mediumGray"/>
              </fill>
            </x14:dxf>
          </x14:cfRule>
          <xm:sqref>M34</xm:sqref>
        </x14:conditionalFormatting>
        <x14:conditionalFormatting xmlns:xm="http://schemas.microsoft.com/office/excel/2006/main">
          <x14:cfRule type="expression" priority="8" id="{55176CB5-A3B9-4D2C-A067-F5A495AF70AC}">
            <xm:f>入力!#REF!+2&lt;27</xm:f>
            <x14:dxf>
              <fill>
                <patternFill patternType="mediumGray"/>
              </fill>
            </x14:dxf>
          </x14:cfRule>
          <xm:sqref>N34</xm:sqref>
        </x14:conditionalFormatting>
        <x14:conditionalFormatting xmlns:xm="http://schemas.microsoft.com/office/excel/2006/main">
          <x14:cfRule type="expression" priority="7" id="{162290C9-9119-4B0B-AB16-0C7817B3410E}">
            <xm:f>入力!#REF!+3&lt;27</xm:f>
            <x14:dxf>
              <fill>
                <patternFill patternType="mediumGray"/>
              </fill>
            </x14:dxf>
          </x14:cfRule>
          <xm:sqref>O34</xm:sqref>
        </x14:conditionalFormatting>
        <x14:conditionalFormatting xmlns:xm="http://schemas.microsoft.com/office/excel/2006/main">
          <x14:cfRule type="expression" priority="6" id="{981D52F1-3953-4927-8494-FE4839DEFA64}">
            <xm:f>入力!#REF!+4&lt;27</xm:f>
            <x14:dxf>
              <fill>
                <patternFill patternType="mediumGray"/>
              </fill>
            </x14:dxf>
          </x14:cfRule>
          <xm:sqref>P34</xm:sqref>
        </x14:conditionalFormatting>
        <x14:conditionalFormatting xmlns:xm="http://schemas.microsoft.com/office/excel/2006/main">
          <x14:cfRule type="expression" priority="5" id="{0CBA6526-17E0-491C-B231-76970A968CA6}">
            <xm:f>入力!#REF!&lt;27</xm:f>
            <x14:dxf>
              <fill>
                <patternFill patternType="mediumGray"/>
              </fill>
            </x14:dxf>
          </x14:cfRule>
          <xm:sqref>L32</xm:sqref>
        </x14:conditionalFormatting>
        <x14:conditionalFormatting xmlns:xm="http://schemas.microsoft.com/office/excel/2006/main">
          <x14:cfRule type="expression" priority="4" id="{81D31BAB-3E9D-47D2-97BF-8808FB959119}">
            <xm:f>入力!#REF!+1&lt;27</xm:f>
            <x14:dxf>
              <fill>
                <patternFill patternType="mediumGray"/>
              </fill>
            </x14:dxf>
          </x14:cfRule>
          <xm:sqref>M32</xm:sqref>
        </x14:conditionalFormatting>
        <x14:conditionalFormatting xmlns:xm="http://schemas.microsoft.com/office/excel/2006/main">
          <x14:cfRule type="expression" priority="3" id="{F5D29546-ABBB-40E6-A4BC-EFD0E1475E72}">
            <xm:f>入力!#REF!+2&lt;27</xm:f>
            <x14:dxf>
              <fill>
                <patternFill patternType="mediumGray"/>
              </fill>
            </x14:dxf>
          </x14:cfRule>
          <xm:sqref>N32</xm:sqref>
        </x14:conditionalFormatting>
        <x14:conditionalFormatting xmlns:xm="http://schemas.microsoft.com/office/excel/2006/main">
          <x14:cfRule type="expression" priority="2" id="{7BB0BEEB-AE10-455E-AE00-104592F562F4}">
            <xm:f>入力!#REF!+3&lt;27</xm:f>
            <x14:dxf>
              <fill>
                <patternFill patternType="mediumGray"/>
              </fill>
            </x14:dxf>
          </x14:cfRule>
          <xm:sqref>O32</xm:sqref>
        </x14:conditionalFormatting>
        <x14:conditionalFormatting xmlns:xm="http://schemas.microsoft.com/office/excel/2006/main">
          <x14:cfRule type="expression" priority="1" id="{1AB4040E-E452-49A4-934F-F4B1030A8B43}">
            <xm:f>入力!#REF!+4&lt;27</xm:f>
            <x14:dxf>
              <fill>
                <patternFill patternType="mediumGray"/>
              </fill>
            </x14:dxf>
          </x14:cfRule>
          <xm:sqref>P32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9:D30"/>
  <sheetViews>
    <sheetView workbookViewId="0">
      <selection activeCell="D16" sqref="D16"/>
    </sheetView>
  </sheetViews>
  <sheetFormatPr defaultRowHeight="13.2" x14ac:dyDescent="0.2"/>
  <cols>
    <col min="1" max="1" width="15.77734375" style="4" customWidth="1"/>
    <col min="2" max="2" width="9" style="4"/>
    <col min="3" max="4" width="12.109375" style="4" customWidth="1"/>
  </cols>
  <sheetData>
    <row r="9" spans="1:4" x14ac:dyDescent="0.2">
      <c r="A9" s="4" t="s">
        <v>446</v>
      </c>
      <c r="B9" s="4" t="s">
        <v>447</v>
      </c>
      <c r="C9" s="4" t="s">
        <v>448</v>
      </c>
      <c r="D9" s="4" t="s">
        <v>449</v>
      </c>
    </row>
    <row r="10" spans="1:4" x14ac:dyDescent="0.2">
      <c r="A10" s="4" t="s">
        <v>450</v>
      </c>
      <c r="B10" s="4">
        <v>25</v>
      </c>
      <c r="C10" s="4" t="s">
        <v>451</v>
      </c>
      <c r="D10" s="4" t="s">
        <v>452</v>
      </c>
    </row>
    <row r="11" spans="1:4" x14ac:dyDescent="0.2">
      <c r="A11" s="4" t="s">
        <v>450</v>
      </c>
      <c r="B11" s="4">
        <v>26</v>
      </c>
      <c r="C11" s="4" t="s">
        <v>453</v>
      </c>
      <c r="D11" s="4" t="s">
        <v>454</v>
      </c>
    </row>
    <row r="12" spans="1:4" x14ac:dyDescent="0.2">
      <c r="A12" s="4" t="s">
        <v>450</v>
      </c>
      <c r="B12" s="4">
        <v>27</v>
      </c>
      <c r="C12" s="4" t="s">
        <v>455</v>
      </c>
      <c r="D12" s="4" t="s">
        <v>456</v>
      </c>
    </row>
    <row r="13" spans="1:4" x14ac:dyDescent="0.2">
      <c r="A13" s="4" t="s">
        <v>450</v>
      </c>
      <c r="B13" s="4">
        <v>28</v>
      </c>
      <c r="C13" s="4" t="s">
        <v>457</v>
      </c>
      <c r="D13" s="4" t="s">
        <v>458</v>
      </c>
    </row>
    <row r="14" spans="1:4" x14ac:dyDescent="0.2">
      <c r="A14" s="4" t="s">
        <v>450</v>
      </c>
      <c r="B14" s="4">
        <v>29</v>
      </c>
      <c r="C14" s="4" t="s">
        <v>459</v>
      </c>
      <c r="D14" s="4" t="s">
        <v>460</v>
      </c>
    </row>
    <row r="15" spans="1:4" x14ac:dyDescent="0.2">
      <c r="A15" s="4" t="s">
        <v>450</v>
      </c>
      <c r="B15" s="4">
        <v>30</v>
      </c>
      <c r="C15" s="4" t="s">
        <v>461</v>
      </c>
      <c r="D15" s="4" t="s">
        <v>462</v>
      </c>
    </row>
    <row r="16" spans="1:4" x14ac:dyDescent="0.2">
      <c r="A16" s="4" t="s">
        <v>511</v>
      </c>
      <c r="B16" s="4">
        <v>31</v>
      </c>
      <c r="C16" s="4" t="s">
        <v>463</v>
      </c>
      <c r="D16" s="4" t="str">
        <f>IF(入力!F14&gt;1,"元年度実績","元年度見込")</f>
        <v>元年度実績</v>
      </c>
    </row>
    <row r="17" spans="1:4" x14ac:dyDescent="0.2">
      <c r="A17" s="4" t="s">
        <v>512</v>
      </c>
      <c r="B17" s="4">
        <v>32</v>
      </c>
      <c r="C17" s="4" t="str">
        <f>IF(入力!F14&gt;1,"2年度実績","2年度見込")</f>
        <v>2年度実績</v>
      </c>
      <c r="D17" s="4" t="str">
        <f>IF(入力!F14&gt;2,"2年度実績","2年度見込")</f>
        <v>2年度実績</v>
      </c>
    </row>
    <row r="18" spans="1:4" x14ac:dyDescent="0.2">
      <c r="A18" s="4" t="s">
        <v>513</v>
      </c>
      <c r="B18" s="4">
        <v>33</v>
      </c>
      <c r="C18" s="4" t="str">
        <f>IF(入力!F14&gt;2,"3年度実績","3年度見込")</f>
        <v>3年度実績</v>
      </c>
      <c r="D18" s="4" t="str">
        <f>IF(入力!F14&gt;3,"3年度実績","3年度見込")</f>
        <v>3年度実績</v>
      </c>
    </row>
    <row r="19" spans="1:4" x14ac:dyDescent="0.2">
      <c r="A19" s="4" t="s">
        <v>513</v>
      </c>
      <c r="B19" s="4">
        <v>34</v>
      </c>
      <c r="C19" s="4" t="str">
        <f>IF(入力!F14&gt;3,"4年度実績","4年度見込")</f>
        <v>4年度実績</v>
      </c>
      <c r="D19" s="4" t="str">
        <f>IF(入力!F14&gt;4,"4年度実績","4年度見込")</f>
        <v>4年度実績</v>
      </c>
    </row>
    <row r="20" spans="1:4" x14ac:dyDescent="0.2">
      <c r="A20" s="4" t="s">
        <v>513</v>
      </c>
      <c r="B20" s="4">
        <v>35</v>
      </c>
      <c r="C20" s="4" t="str">
        <f>IF(入力!F14&gt;4,"5年度実績","5年度見込")</f>
        <v>5年度実績</v>
      </c>
      <c r="D20" s="4" t="str">
        <f>IF(入力!F14&gt;5,"5年度実績","5年度見込")</f>
        <v>5年度実績</v>
      </c>
    </row>
    <row r="21" spans="1:4" x14ac:dyDescent="0.2">
      <c r="A21" s="4" t="s">
        <v>513</v>
      </c>
      <c r="B21" s="4">
        <v>36</v>
      </c>
      <c r="C21" s="4" t="str">
        <f>IF(入力!F14&gt;5,"6年度実績","6年度見込")</f>
        <v>6年度実績</v>
      </c>
      <c r="D21" s="4" t="str">
        <f>IF(入力!F14&gt;6,"6年度実績","6年度見込")</f>
        <v>6年度実績</v>
      </c>
    </row>
    <row r="22" spans="1:4" x14ac:dyDescent="0.2">
      <c r="A22" s="4" t="s">
        <v>513</v>
      </c>
      <c r="B22" s="4">
        <v>37</v>
      </c>
      <c r="C22" s="4" t="str">
        <f>IF(入力!F14&gt;6,"7年度実績","7年度見込")</f>
        <v>7年度実績</v>
      </c>
      <c r="D22" s="4" t="str">
        <f>IF(入力!F14&gt;7,"7年度実績","7年度見込")</f>
        <v>7年度実績</v>
      </c>
    </row>
    <row r="23" spans="1:4" x14ac:dyDescent="0.2">
      <c r="A23" s="4" t="s">
        <v>513</v>
      </c>
      <c r="B23" s="4">
        <v>38</v>
      </c>
      <c r="C23" s="4" t="str">
        <f>IF(入力!F14&gt;7,"8年度実績","8年度見込")</f>
        <v>8年度実績</v>
      </c>
      <c r="D23" s="4" t="str">
        <f>IF(入力!F14&gt;8,"8年度実績","8年度見込")</f>
        <v>8年度見込</v>
      </c>
    </row>
    <row r="24" spans="1:4" x14ac:dyDescent="0.2">
      <c r="A24" s="4" t="s">
        <v>513</v>
      </c>
      <c r="B24" s="4">
        <v>39</v>
      </c>
      <c r="C24" s="4" t="str">
        <f>IF(入力!F14&gt;8,"9年度実績","9年度見込")</f>
        <v>9年度見込</v>
      </c>
      <c r="D24" s="4" t="str">
        <f>IF(入力!F14&gt;9,"9年度実績","9年度見込")</f>
        <v>9年度見込</v>
      </c>
    </row>
    <row r="25" spans="1:4" x14ac:dyDescent="0.2">
      <c r="A25" s="4" t="s">
        <v>513</v>
      </c>
      <c r="B25" s="4">
        <v>40</v>
      </c>
      <c r="C25" s="4" t="str">
        <f>IF(入力!F14&gt;9,"10年度実績","10年度見込")</f>
        <v>10年度見込</v>
      </c>
      <c r="D25" s="4" t="str">
        <f>IF(入力!F14&gt;10,"10年度実績","10年度見込")</f>
        <v>10年度見込</v>
      </c>
    </row>
    <row r="26" spans="1:4" x14ac:dyDescent="0.2">
      <c r="A26" s="4" t="s">
        <v>513</v>
      </c>
      <c r="B26" s="4">
        <v>41</v>
      </c>
      <c r="C26" s="4" t="str">
        <f>IF(入力!F14&gt;10,"11年度実績","11年度見込")</f>
        <v>11年度見込</v>
      </c>
      <c r="D26" s="4" t="str">
        <f>IF(入力!F14&gt;11,"11年度実績","11年度見込")</f>
        <v>11年度見込</v>
      </c>
    </row>
    <row r="27" spans="1:4" x14ac:dyDescent="0.2">
      <c r="A27" s="4" t="s">
        <v>513</v>
      </c>
      <c r="B27" s="4">
        <v>42</v>
      </c>
      <c r="C27" s="4" t="str">
        <f>IF(入力!F14&gt;11,"12年度実績","12年度見込")</f>
        <v>12年度見込</v>
      </c>
      <c r="D27" s="4" t="str">
        <f>IF(入力!F14&gt;12,"12年度実績","12年度見込")</f>
        <v>12年度見込</v>
      </c>
    </row>
    <row r="28" spans="1:4" x14ac:dyDescent="0.2">
      <c r="A28" s="4" t="s">
        <v>513</v>
      </c>
      <c r="B28" s="4">
        <v>43</v>
      </c>
      <c r="C28" s="4" t="str">
        <f>IF(入力!F14&gt;12,"13年度実績","13年度見込")</f>
        <v>13年度見込</v>
      </c>
      <c r="D28" s="4" t="str">
        <f>IF(入力!F14&gt;13,"13年度実績","13年度見込")</f>
        <v>13年度見込</v>
      </c>
    </row>
    <row r="29" spans="1:4" x14ac:dyDescent="0.2">
      <c r="A29" s="4" t="s">
        <v>512</v>
      </c>
      <c r="B29" s="4">
        <v>44</v>
      </c>
      <c r="C29" s="4" t="str">
        <f>IF(入力!F14&gt;13,"14年度実績","14年度見込")</f>
        <v>14年度見込</v>
      </c>
      <c r="D29" s="4" t="str">
        <f>IF(入力!F14&gt;14,"14年度実績","14年度見込")</f>
        <v>14年度見込</v>
      </c>
    </row>
    <row r="30" spans="1:4" x14ac:dyDescent="0.2">
      <c r="A30" s="4" t="s">
        <v>513</v>
      </c>
      <c r="B30" s="4">
        <v>45</v>
      </c>
      <c r="C30" s="4" t="str">
        <f>IF(入力!F14&gt;14,"15年度実績","15年度見込")</f>
        <v>15年度見込</v>
      </c>
      <c r="D30" s="4" t="str">
        <f>IF(入力!F14&gt;15,"15年度実績","15年度見込")</f>
        <v>15年度見込</v>
      </c>
    </row>
  </sheetData>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40"/>
  <sheetViews>
    <sheetView zoomScaleNormal="100" zoomScaleSheetLayoutView="115" workbookViewId="0"/>
  </sheetViews>
  <sheetFormatPr defaultColWidth="9" defaultRowHeight="13.2" x14ac:dyDescent="0.2"/>
  <cols>
    <col min="1" max="1" width="2.6640625" style="209" customWidth="1"/>
    <col min="2" max="2" width="39.77734375" style="209" customWidth="1"/>
    <col min="3" max="3" width="3.33203125" style="209" bestFit="1" customWidth="1"/>
    <col min="4" max="4" width="40.6640625" style="209" customWidth="1"/>
    <col min="5" max="16384" width="9" style="209"/>
  </cols>
  <sheetData>
    <row r="1" spans="1:4" s="198" customFormat="1" ht="30.75" customHeight="1" x14ac:dyDescent="0.2">
      <c r="A1" s="294" t="s">
        <v>185</v>
      </c>
      <c r="B1" s="295"/>
      <c r="C1" s="295"/>
      <c r="D1" s="295"/>
    </row>
    <row r="2" spans="1:4" ht="27" customHeight="1" x14ac:dyDescent="0.2">
      <c r="A2" s="296" t="s">
        <v>240</v>
      </c>
      <c r="B2" s="297" t="s">
        <v>241</v>
      </c>
      <c r="C2" s="297"/>
      <c r="D2" s="297"/>
    </row>
    <row r="3" spans="1:4" ht="23.25" customHeight="1" x14ac:dyDescent="0.2">
      <c r="A3" s="296"/>
      <c r="B3" s="86" t="s">
        <v>175</v>
      </c>
      <c r="C3" s="298" t="s">
        <v>242</v>
      </c>
      <c r="D3" s="299" t="s">
        <v>243</v>
      </c>
    </row>
    <row r="4" spans="1:4" ht="23.25" customHeight="1" x14ac:dyDescent="0.2">
      <c r="A4" s="296"/>
      <c r="B4" s="300" t="s">
        <v>412</v>
      </c>
      <c r="C4" s="301" t="s">
        <v>244</v>
      </c>
      <c r="D4" s="302" t="s">
        <v>151</v>
      </c>
    </row>
    <row r="5" spans="1:4" ht="23.25" customHeight="1" x14ac:dyDescent="0.2">
      <c r="A5" s="296"/>
      <c r="B5" s="300" t="s">
        <v>421</v>
      </c>
      <c r="C5" s="301" t="s">
        <v>242</v>
      </c>
      <c r="D5" s="302" t="s">
        <v>152</v>
      </c>
    </row>
    <row r="6" spans="1:4" ht="23.25" customHeight="1" x14ac:dyDescent="0.2">
      <c r="A6" s="296"/>
      <c r="B6" s="335" t="s">
        <v>413</v>
      </c>
      <c r="C6" s="304" t="s">
        <v>245</v>
      </c>
      <c r="D6" s="305" t="s">
        <v>153</v>
      </c>
    </row>
    <row r="7" spans="1:4" ht="14.4" x14ac:dyDescent="0.2">
      <c r="A7" s="296"/>
      <c r="B7" s="297"/>
      <c r="C7" s="297"/>
      <c r="D7" s="297"/>
    </row>
    <row r="8" spans="1:4" ht="25.5" customHeight="1" x14ac:dyDescent="0.2">
      <c r="A8" s="296" t="s">
        <v>246</v>
      </c>
      <c r="B8" s="297" t="s">
        <v>247</v>
      </c>
      <c r="C8" s="297"/>
      <c r="D8" s="297"/>
    </row>
    <row r="9" spans="1:4" ht="21" customHeight="1" x14ac:dyDescent="0.2">
      <c r="A9" s="296"/>
      <c r="B9" s="86" t="s">
        <v>225</v>
      </c>
      <c r="C9" s="298" t="s">
        <v>242</v>
      </c>
      <c r="D9" s="299" t="s">
        <v>248</v>
      </c>
    </row>
    <row r="10" spans="1:4" ht="21" customHeight="1" x14ac:dyDescent="0.2">
      <c r="A10" s="296"/>
      <c r="B10" s="306" t="s">
        <v>151</v>
      </c>
      <c r="C10" s="301" t="s">
        <v>249</v>
      </c>
      <c r="D10" s="302" t="s">
        <v>176</v>
      </c>
    </row>
    <row r="11" spans="1:4" ht="21" customHeight="1" x14ac:dyDescent="0.2">
      <c r="A11" s="296"/>
      <c r="B11" s="306"/>
      <c r="C11" s="301"/>
      <c r="D11" s="302" t="s">
        <v>177</v>
      </c>
    </row>
    <row r="12" spans="1:4" ht="21" customHeight="1" x14ac:dyDescent="0.2">
      <c r="A12" s="296"/>
      <c r="B12" s="306"/>
      <c r="C12" s="301"/>
      <c r="D12" s="302" t="s">
        <v>39</v>
      </c>
    </row>
    <row r="13" spans="1:4" ht="21" customHeight="1" x14ac:dyDescent="0.2">
      <c r="A13" s="296"/>
      <c r="B13" s="306" t="s">
        <v>152</v>
      </c>
      <c r="C13" s="301" t="s">
        <v>249</v>
      </c>
      <c r="D13" s="302" t="s">
        <v>179</v>
      </c>
    </row>
    <row r="14" spans="1:4" ht="21" customHeight="1" x14ac:dyDescent="0.2">
      <c r="A14" s="296"/>
      <c r="B14" s="306"/>
      <c r="C14" s="301"/>
      <c r="D14" s="302" t="s">
        <v>180</v>
      </c>
    </row>
    <row r="15" spans="1:4" ht="21" customHeight="1" x14ac:dyDescent="0.2">
      <c r="A15" s="296"/>
      <c r="B15" s="306" t="s">
        <v>153</v>
      </c>
      <c r="C15" s="301" t="s">
        <v>249</v>
      </c>
      <c r="D15" s="302" t="s">
        <v>181</v>
      </c>
    </row>
    <row r="16" spans="1:4" ht="21" customHeight="1" x14ac:dyDescent="0.2">
      <c r="A16" s="296"/>
      <c r="B16" s="306"/>
      <c r="C16" s="301"/>
      <c r="D16" s="302" t="s">
        <v>182</v>
      </c>
    </row>
    <row r="17" spans="1:4" ht="21" customHeight="1" x14ac:dyDescent="0.2">
      <c r="A17" s="296"/>
      <c r="B17" s="306"/>
      <c r="C17" s="301"/>
      <c r="D17" s="302" t="s">
        <v>183</v>
      </c>
    </row>
    <row r="18" spans="1:4" ht="21" customHeight="1" x14ac:dyDescent="0.2">
      <c r="A18" s="296"/>
      <c r="B18" s="300" t="s">
        <v>414</v>
      </c>
      <c r="C18" s="301" t="s">
        <v>244</v>
      </c>
      <c r="D18" s="302" t="s">
        <v>7</v>
      </c>
    </row>
    <row r="19" spans="1:4" ht="21" customHeight="1" x14ac:dyDescent="0.2">
      <c r="A19" s="296"/>
      <c r="B19" s="300"/>
      <c r="C19" s="301"/>
      <c r="D19" s="302" t="s">
        <v>184</v>
      </c>
    </row>
    <row r="20" spans="1:4" ht="21" customHeight="1" x14ac:dyDescent="0.2">
      <c r="A20" s="296"/>
      <c r="B20" s="300"/>
      <c r="C20" s="301"/>
      <c r="D20" s="302" t="s">
        <v>21</v>
      </c>
    </row>
    <row r="21" spans="1:4" ht="21" customHeight="1" x14ac:dyDescent="0.2">
      <c r="A21" s="296"/>
      <c r="B21" s="300"/>
      <c r="C21" s="301"/>
      <c r="D21" s="336" t="s">
        <v>266</v>
      </c>
    </row>
    <row r="22" spans="1:4" ht="21" customHeight="1" x14ac:dyDescent="0.2">
      <c r="A22" s="296"/>
      <c r="B22" s="300"/>
      <c r="C22" s="301"/>
      <c r="D22" s="336" t="s">
        <v>368</v>
      </c>
    </row>
    <row r="23" spans="1:4" ht="21" customHeight="1" x14ac:dyDescent="0.2">
      <c r="A23" s="296"/>
      <c r="B23" s="300" t="s">
        <v>422</v>
      </c>
      <c r="C23" s="301" t="s">
        <v>250</v>
      </c>
      <c r="D23" s="302" t="s">
        <v>27</v>
      </c>
    </row>
    <row r="24" spans="1:4" ht="21" customHeight="1" x14ac:dyDescent="0.2">
      <c r="A24" s="296"/>
      <c r="B24" s="300"/>
      <c r="C24" s="301"/>
      <c r="D24" s="302" t="s">
        <v>28</v>
      </c>
    </row>
    <row r="25" spans="1:4" ht="21" customHeight="1" x14ac:dyDescent="0.2">
      <c r="A25" s="296"/>
      <c r="B25" s="300" t="s">
        <v>415</v>
      </c>
      <c r="C25" s="301" t="s">
        <v>251</v>
      </c>
      <c r="D25" s="302" t="s">
        <v>17</v>
      </c>
    </row>
    <row r="26" spans="1:4" ht="21" customHeight="1" x14ac:dyDescent="0.2">
      <c r="A26" s="296"/>
      <c r="B26" s="303"/>
      <c r="C26" s="304"/>
      <c r="D26" s="305" t="s">
        <v>0</v>
      </c>
    </row>
    <row r="27" spans="1:4" ht="9.75" customHeight="1" x14ac:dyDescent="0.2">
      <c r="A27" s="296"/>
      <c r="B27" s="297"/>
      <c r="C27" s="297"/>
      <c r="D27" s="297"/>
    </row>
    <row r="28" spans="1:4" ht="30" customHeight="1" x14ac:dyDescent="0.2">
      <c r="A28" s="307" t="s">
        <v>252</v>
      </c>
      <c r="B28" s="821" t="s">
        <v>389</v>
      </c>
      <c r="C28" s="821"/>
      <c r="D28" s="821"/>
    </row>
    <row r="29" spans="1:4" ht="5.0999999999999996" customHeight="1" x14ac:dyDescent="0.2">
      <c r="A29" s="307"/>
      <c r="B29" s="334"/>
      <c r="C29" s="334"/>
      <c r="D29" s="334"/>
    </row>
    <row r="30" spans="1:4" ht="33" customHeight="1" x14ac:dyDescent="0.2">
      <c r="A30" s="307" t="s">
        <v>253</v>
      </c>
      <c r="B30" s="821" t="s">
        <v>399</v>
      </c>
      <c r="C30" s="821"/>
      <c r="D30" s="821"/>
    </row>
    <row r="31" spans="1:4" ht="5.0999999999999996" customHeight="1" x14ac:dyDescent="0.2">
      <c r="A31" s="307"/>
      <c r="B31" s="334"/>
      <c r="C31" s="334"/>
      <c r="D31" s="334"/>
    </row>
    <row r="32" spans="1:4" ht="30" customHeight="1" x14ac:dyDescent="0.2">
      <c r="A32" s="308" t="s">
        <v>254</v>
      </c>
      <c r="B32" s="821" t="s">
        <v>400</v>
      </c>
      <c r="C32" s="821"/>
      <c r="D32" s="821"/>
    </row>
    <row r="33" spans="1:4" ht="5.0999999999999996" customHeight="1" x14ac:dyDescent="0.2">
      <c r="A33" s="307"/>
      <c r="B33" s="334"/>
      <c r="C33" s="334"/>
      <c r="D33" s="334"/>
    </row>
    <row r="34" spans="1:4" ht="30" customHeight="1" x14ac:dyDescent="0.2">
      <c r="A34" s="308" t="s">
        <v>255</v>
      </c>
      <c r="B34" s="821" t="s">
        <v>390</v>
      </c>
      <c r="C34" s="821"/>
      <c r="D34" s="821"/>
    </row>
    <row r="35" spans="1:4" ht="5.0999999999999996" customHeight="1" x14ac:dyDescent="0.2">
      <c r="A35" s="307"/>
      <c r="B35" s="334"/>
      <c r="C35" s="334"/>
      <c r="D35" s="334"/>
    </row>
    <row r="36" spans="1:4" ht="30" customHeight="1" x14ac:dyDescent="0.2">
      <c r="A36" s="308" t="s">
        <v>256</v>
      </c>
      <c r="B36" s="821" t="s">
        <v>263</v>
      </c>
      <c r="C36" s="821"/>
      <c r="D36" s="821"/>
    </row>
    <row r="37" spans="1:4" ht="5.0999999999999996" customHeight="1" x14ac:dyDescent="0.2">
      <c r="A37" s="307"/>
      <c r="B37" s="334"/>
      <c r="C37" s="334"/>
      <c r="D37" s="334"/>
    </row>
    <row r="38" spans="1:4" ht="30.75" customHeight="1" x14ac:dyDescent="0.2">
      <c r="A38" s="308" t="s">
        <v>257</v>
      </c>
      <c r="B38" s="821" t="s">
        <v>388</v>
      </c>
      <c r="C38" s="821"/>
      <c r="D38" s="821"/>
    </row>
    <row r="39" spans="1:4" ht="4.5" customHeight="1" x14ac:dyDescent="0.2">
      <c r="A39" s="337"/>
      <c r="B39" s="337"/>
      <c r="C39" s="337"/>
      <c r="D39" s="337"/>
    </row>
    <row r="40" spans="1:4" ht="33" customHeight="1" x14ac:dyDescent="0.2">
      <c r="A40" s="308"/>
      <c r="B40" s="820"/>
      <c r="C40" s="820"/>
      <c r="D40" s="820"/>
    </row>
  </sheetData>
  <mergeCells count="7">
    <mergeCell ref="B40:D40"/>
    <mergeCell ref="B38:D38"/>
    <mergeCell ref="B36:D36"/>
    <mergeCell ref="B28:D28"/>
    <mergeCell ref="B30:D30"/>
    <mergeCell ref="B32:D32"/>
    <mergeCell ref="B34:D34"/>
  </mergeCells>
  <phoneticPr fontId="2"/>
  <pageMargins left="0.51181102362204722" right="0.47244094488188981" top="0.55118110236220474" bottom="0.49" header="0.19685039370078741" footer="0.39370078740157483"/>
  <pageSetup paperSize="9"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9"/>
  <sheetViews>
    <sheetView zoomScaleNormal="100" zoomScaleSheetLayoutView="115" workbookViewId="0"/>
  </sheetViews>
  <sheetFormatPr defaultColWidth="9" defaultRowHeight="13.2" x14ac:dyDescent="0.2"/>
  <cols>
    <col min="1" max="1" width="1.33203125" style="198" customWidth="1"/>
    <col min="2" max="2" width="3.6640625" style="198" customWidth="1"/>
    <col min="3" max="3" width="87" style="198" customWidth="1"/>
    <col min="4" max="16384" width="9" style="198"/>
  </cols>
  <sheetData>
    <row r="1" spans="1:3" ht="39" customHeight="1" x14ac:dyDescent="0.2">
      <c r="A1" s="311" t="s">
        <v>186</v>
      </c>
      <c r="B1" s="295"/>
      <c r="C1" s="295"/>
    </row>
    <row r="2" spans="1:3" ht="24" customHeight="1" x14ac:dyDescent="0.2">
      <c r="A2" s="295"/>
      <c r="B2" s="312" t="s">
        <v>226</v>
      </c>
      <c r="C2" s="312"/>
    </row>
    <row r="3" spans="1:3" ht="36.75" customHeight="1" x14ac:dyDescent="0.2">
      <c r="A3" s="295"/>
      <c r="B3" s="313" t="s">
        <v>227</v>
      </c>
      <c r="C3" s="314" t="s">
        <v>196</v>
      </c>
    </row>
    <row r="4" spans="1:3" ht="24" customHeight="1" x14ac:dyDescent="0.2">
      <c r="A4" s="295"/>
      <c r="B4" s="313" t="s">
        <v>187</v>
      </c>
      <c r="C4" s="314" t="s">
        <v>228</v>
      </c>
    </row>
    <row r="5" spans="1:3" ht="33" customHeight="1" x14ac:dyDescent="0.2">
      <c r="A5" s="295"/>
      <c r="B5" s="313" t="s">
        <v>188</v>
      </c>
      <c r="C5" s="314" t="s">
        <v>229</v>
      </c>
    </row>
    <row r="6" spans="1:3" ht="33" customHeight="1" x14ac:dyDescent="0.2">
      <c r="A6" s="295"/>
      <c r="B6" s="313" t="s">
        <v>189</v>
      </c>
      <c r="C6" s="314" t="s">
        <v>230</v>
      </c>
    </row>
    <row r="7" spans="1:3" ht="24" customHeight="1" x14ac:dyDescent="0.2">
      <c r="A7" s="295"/>
      <c r="B7" s="313" t="s">
        <v>190</v>
      </c>
      <c r="C7" s="314" t="s">
        <v>231</v>
      </c>
    </row>
    <row r="8" spans="1:3" ht="24" customHeight="1" x14ac:dyDescent="0.2">
      <c r="A8" s="295"/>
      <c r="B8" s="313" t="s">
        <v>191</v>
      </c>
      <c r="C8" s="314" t="s">
        <v>258</v>
      </c>
    </row>
    <row r="9" spans="1:3" ht="24" customHeight="1" x14ac:dyDescent="0.2">
      <c r="A9" s="295"/>
      <c r="B9" s="313" t="s">
        <v>192</v>
      </c>
      <c r="C9" s="316" t="s">
        <v>411</v>
      </c>
    </row>
    <row r="10" spans="1:3" ht="17.25" customHeight="1" x14ac:dyDescent="0.2">
      <c r="A10" s="295"/>
      <c r="B10" s="309"/>
      <c r="C10" s="310"/>
    </row>
    <row r="11" spans="1:3" ht="24" customHeight="1" x14ac:dyDescent="0.2">
      <c r="A11" s="295"/>
      <c r="B11" s="312" t="s">
        <v>232</v>
      </c>
      <c r="C11" s="312"/>
    </row>
    <row r="12" spans="1:3" ht="24" customHeight="1" x14ac:dyDescent="0.2">
      <c r="A12" s="295"/>
      <c r="B12" s="313" t="s">
        <v>233</v>
      </c>
      <c r="C12" s="314" t="s">
        <v>193</v>
      </c>
    </row>
    <row r="13" spans="1:3" ht="24" customHeight="1" x14ac:dyDescent="0.2">
      <c r="A13" s="295"/>
      <c r="B13" s="313" t="s">
        <v>187</v>
      </c>
      <c r="C13" s="314" t="s">
        <v>259</v>
      </c>
    </row>
    <row r="14" spans="1:3" ht="17.25" customHeight="1" x14ac:dyDescent="0.2">
      <c r="A14" s="295"/>
      <c r="B14" s="309"/>
      <c r="C14" s="310"/>
    </row>
    <row r="15" spans="1:3" ht="24" customHeight="1" x14ac:dyDescent="0.2">
      <c r="A15" s="295"/>
      <c r="B15" s="312" t="s">
        <v>260</v>
      </c>
      <c r="C15" s="312"/>
    </row>
    <row r="16" spans="1:3" ht="24" customHeight="1" x14ac:dyDescent="0.2">
      <c r="A16" s="295"/>
      <c r="B16" s="313" t="s">
        <v>233</v>
      </c>
      <c r="C16" s="314" t="s">
        <v>261</v>
      </c>
    </row>
    <row r="17" spans="1:3" ht="80.25" customHeight="1" x14ac:dyDescent="0.2">
      <c r="A17" s="295"/>
      <c r="B17" s="313" t="s">
        <v>187</v>
      </c>
      <c r="C17" s="316" t="s">
        <v>576</v>
      </c>
    </row>
    <row r="18" spans="1:3" ht="17.25" customHeight="1" x14ac:dyDescent="0.2">
      <c r="A18" s="295"/>
      <c r="B18" s="295"/>
      <c r="C18" s="295"/>
    </row>
    <row r="19" spans="1:3" ht="24" customHeight="1" x14ac:dyDescent="0.2">
      <c r="A19" s="295"/>
      <c r="B19" s="315" t="s">
        <v>391</v>
      </c>
      <c r="C19" s="315"/>
    </row>
    <row r="20" spans="1:3" ht="24" customHeight="1" x14ac:dyDescent="0.2">
      <c r="A20" s="295"/>
      <c r="B20" s="338" t="s">
        <v>262</v>
      </c>
      <c r="C20" s="316" t="s">
        <v>194</v>
      </c>
    </row>
    <row r="21" spans="1:3" ht="24" customHeight="1" x14ac:dyDescent="0.2">
      <c r="A21" s="295"/>
      <c r="B21" s="338" t="s">
        <v>187</v>
      </c>
      <c r="C21" s="316" t="s">
        <v>392</v>
      </c>
    </row>
    <row r="22" spans="1:3" ht="17.25" customHeight="1" x14ac:dyDescent="0.2">
      <c r="A22" s="295"/>
      <c r="B22" s="339"/>
      <c r="C22" s="340"/>
    </row>
    <row r="23" spans="1:3" ht="24" customHeight="1" x14ac:dyDescent="0.2">
      <c r="A23" s="295"/>
      <c r="B23" s="315" t="s">
        <v>393</v>
      </c>
      <c r="C23" s="315"/>
    </row>
    <row r="24" spans="1:3" ht="24" customHeight="1" x14ac:dyDescent="0.2">
      <c r="A24" s="295"/>
      <c r="B24" s="338" t="s">
        <v>262</v>
      </c>
      <c r="C24" s="316" t="s">
        <v>193</v>
      </c>
    </row>
    <row r="25" spans="1:3" ht="17.25" customHeight="1" x14ac:dyDescent="0.2">
      <c r="A25" s="295"/>
      <c r="B25" s="339"/>
      <c r="C25" s="340"/>
    </row>
    <row r="26" spans="1:3" ht="24" customHeight="1" x14ac:dyDescent="0.2">
      <c r="A26" s="295"/>
      <c r="B26" s="315" t="s">
        <v>369</v>
      </c>
      <c r="C26" s="315"/>
    </row>
    <row r="27" spans="1:3" ht="29.25" customHeight="1" x14ac:dyDescent="0.2">
      <c r="A27" s="295"/>
      <c r="B27" s="338" t="s">
        <v>227</v>
      </c>
      <c r="C27" s="316" t="s">
        <v>370</v>
      </c>
    </row>
    <row r="28" spans="1:3" ht="60" customHeight="1" x14ac:dyDescent="0.2">
      <c r="A28" s="295"/>
      <c r="B28" s="338" t="s">
        <v>246</v>
      </c>
      <c r="C28" s="316" t="s">
        <v>416</v>
      </c>
    </row>
    <row r="29" spans="1:3" ht="30" customHeight="1" x14ac:dyDescent="0.2">
      <c r="A29" s="295"/>
      <c r="B29" s="338" t="s">
        <v>252</v>
      </c>
      <c r="C29" s="316" t="s">
        <v>401</v>
      </c>
    </row>
    <row r="30" spans="1:3" ht="17.25" customHeight="1" x14ac:dyDescent="0.2">
      <c r="A30" s="295"/>
      <c r="B30" s="339"/>
      <c r="C30" s="340"/>
    </row>
    <row r="31" spans="1:3" ht="24" customHeight="1" x14ac:dyDescent="0.2">
      <c r="A31" s="295"/>
      <c r="B31" s="315" t="s">
        <v>394</v>
      </c>
      <c r="C31" s="315"/>
    </row>
    <row r="32" spans="1:3" ht="24" customHeight="1" x14ac:dyDescent="0.2">
      <c r="A32" s="295"/>
      <c r="B32" s="338" t="s">
        <v>235</v>
      </c>
      <c r="C32" s="316" t="s">
        <v>194</v>
      </c>
    </row>
    <row r="33" spans="1:3" ht="17.25" customHeight="1" x14ac:dyDescent="0.2">
      <c r="A33" s="295"/>
      <c r="B33" s="339"/>
      <c r="C33" s="340"/>
    </row>
    <row r="34" spans="1:3" ht="24" customHeight="1" x14ac:dyDescent="0.2">
      <c r="A34" s="295"/>
      <c r="B34" s="315" t="s">
        <v>395</v>
      </c>
      <c r="C34" s="315"/>
    </row>
    <row r="35" spans="1:3" ht="24" customHeight="1" x14ac:dyDescent="0.2">
      <c r="A35" s="295"/>
      <c r="B35" s="338" t="s">
        <v>234</v>
      </c>
      <c r="C35" s="316" t="s">
        <v>194</v>
      </c>
    </row>
    <row r="36" spans="1:3" ht="29.25" customHeight="1" x14ac:dyDescent="0.2">
      <c r="A36" s="295"/>
      <c r="B36" s="338" t="s">
        <v>187</v>
      </c>
      <c r="C36" s="316" t="s">
        <v>396</v>
      </c>
    </row>
    <row r="37" spans="1:3" ht="33.75" customHeight="1" x14ac:dyDescent="0.2">
      <c r="A37" s="295"/>
      <c r="B37" s="338" t="s">
        <v>252</v>
      </c>
      <c r="C37" s="316" t="s">
        <v>371</v>
      </c>
    </row>
    <row r="38" spans="1:3" ht="30" customHeight="1" x14ac:dyDescent="0.2">
      <c r="A38" s="295"/>
      <c r="B38" s="338" t="s">
        <v>253</v>
      </c>
      <c r="C38" s="316" t="s">
        <v>402</v>
      </c>
    </row>
    <row r="39" spans="1:3" ht="17.25" customHeight="1" x14ac:dyDescent="0.2">
      <c r="A39" s="295"/>
      <c r="B39" s="341"/>
      <c r="C39" s="341"/>
    </row>
    <row r="40" spans="1:3" ht="24" customHeight="1" x14ac:dyDescent="0.2">
      <c r="A40" s="295"/>
      <c r="B40" s="315" t="s">
        <v>397</v>
      </c>
      <c r="C40" s="315"/>
    </row>
    <row r="41" spans="1:3" ht="24" customHeight="1" x14ac:dyDescent="0.2">
      <c r="A41" s="295"/>
      <c r="B41" s="338" t="s">
        <v>227</v>
      </c>
      <c r="C41" s="316" t="s">
        <v>193</v>
      </c>
    </row>
    <row r="42" spans="1:3" ht="30.75" customHeight="1" x14ac:dyDescent="0.2">
      <c r="A42" s="295"/>
      <c r="B42" s="338" t="s">
        <v>187</v>
      </c>
      <c r="C42" s="316" t="s">
        <v>398</v>
      </c>
    </row>
    <row r="43" spans="1:3" ht="43.5" customHeight="1" x14ac:dyDescent="0.2">
      <c r="A43" s="295"/>
      <c r="B43" s="338" t="s">
        <v>252</v>
      </c>
      <c r="C43" s="316" t="s">
        <v>417</v>
      </c>
    </row>
    <row r="44" spans="1:3" ht="30" customHeight="1" x14ac:dyDescent="0.2">
      <c r="A44" s="295"/>
      <c r="B44" s="338" t="s">
        <v>253</v>
      </c>
      <c r="C44" s="316" t="s">
        <v>403</v>
      </c>
    </row>
    <row r="45" spans="1:3" ht="17.25" customHeight="1" x14ac:dyDescent="0.2">
      <c r="A45" s="295"/>
      <c r="B45" s="342"/>
      <c r="C45" s="343"/>
    </row>
    <row r="46" spans="1:3" ht="24" customHeight="1" x14ac:dyDescent="0.2">
      <c r="A46" s="295"/>
      <c r="B46" s="315" t="s">
        <v>236</v>
      </c>
      <c r="C46" s="315"/>
    </row>
    <row r="47" spans="1:3" ht="24" customHeight="1" x14ac:dyDescent="0.2">
      <c r="A47" s="295"/>
      <c r="B47" s="338" t="s">
        <v>237</v>
      </c>
      <c r="C47" s="316" t="s">
        <v>194</v>
      </c>
    </row>
    <row r="48" spans="1:3" ht="33" customHeight="1" x14ac:dyDescent="0.2">
      <c r="A48" s="295"/>
      <c r="B48" s="338" t="s">
        <v>187</v>
      </c>
      <c r="C48" s="316" t="s">
        <v>575</v>
      </c>
    </row>
    <row r="49" ht="16.5" customHeight="1" x14ac:dyDescent="0.2"/>
  </sheetData>
  <phoneticPr fontId="2"/>
  <pageMargins left="0.55000000000000004" right="0.34" top="0.64" bottom="0.68" header="0.34" footer="0.39"/>
  <pageSetup paperSize="9" scale="99" orientation="portrait" r:id="rId1"/>
  <headerFooter alignWithMargins="0"/>
  <rowBreaks count="1" manualBreakCount="1">
    <brk id="3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56"/>
  <sheetViews>
    <sheetView zoomScale="85" zoomScaleNormal="85" workbookViewId="0">
      <pane xSplit="2" ySplit="5" topLeftCell="C6" activePane="bottomRight" state="frozen"/>
      <selection activeCell="S26" sqref="S26"/>
      <selection pane="topRight" activeCell="S26" sqref="S26"/>
      <selection pane="bottomLeft" activeCell="S26" sqref="S26"/>
      <selection pane="bottomRight"/>
    </sheetView>
  </sheetViews>
  <sheetFormatPr defaultColWidth="9" defaultRowHeight="14.4" x14ac:dyDescent="0.2"/>
  <cols>
    <col min="1" max="1" width="42.33203125" style="8" customWidth="1"/>
    <col min="2" max="2" width="8" style="9" customWidth="1"/>
    <col min="3" max="10" width="10.44140625" style="8" customWidth="1"/>
    <col min="11" max="11" width="13.109375" style="8" customWidth="1"/>
    <col min="12" max="16384" width="9" style="8"/>
  </cols>
  <sheetData>
    <row r="1" spans="1:11" s="18" customFormat="1" ht="34.5" customHeight="1" x14ac:dyDescent="0.2">
      <c r="A1" s="17" t="s">
        <v>154</v>
      </c>
      <c r="B1" s="17" t="str">
        <f>CONCATENATE("（","法人番号：",入力!B2,"　　","法人名：",入力!B5,"）")</f>
        <v>（法人番号：131999　　法人名：東西大学）</v>
      </c>
      <c r="C1" s="17"/>
      <c r="D1" s="17"/>
      <c r="E1" s="17"/>
      <c r="F1" s="17"/>
      <c r="G1" s="17"/>
      <c r="H1" s="17"/>
      <c r="I1" s="17"/>
      <c r="K1" s="19" t="s">
        <v>119</v>
      </c>
    </row>
    <row r="2" spans="1:11" s="18" customFormat="1" ht="22.5" customHeight="1" x14ac:dyDescent="0.2">
      <c r="A2" s="17"/>
      <c r="B2" s="17"/>
      <c r="C2" s="17"/>
      <c r="D2" s="17"/>
      <c r="E2" s="17"/>
      <c r="F2" s="17"/>
      <c r="G2" s="17"/>
      <c r="H2" s="17"/>
      <c r="I2" s="265"/>
      <c r="J2" s="265"/>
      <c r="K2" s="274" t="str">
        <f>入力!E18</f>
        <v>新規</v>
      </c>
    </row>
    <row r="3" spans="1:11" ht="21.75" customHeight="1" x14ac:dyDescent="0.2">
      <c r="A3" s="1" t="s">
        <v>120</v>
      </c>
      <c r="J3" s="1"/>
    </row>
    <row r="4" spans="1:11" ht="24.75" customHeight="1" thickBot="1" x14ac:dyDescent="0.25">
      <c r="A4" s="1" t="s">
        <v>167</v>
      </c>
    </row>
    <row r="5" spans="1:11" ht="30" customHeight="1" x14ac:dyDescent="0.2">
      <c r="A5" s="10"/>
      <c r="B5" s="84"/>
      <c r="C5" s="199" t="str">
        <f>VLOOKUP(入力!$I$14-3,和暦表示!$B$10:$D$35,2,FALSE)</f>
        <v>5年度実績</v>
      </c>
      <c r="D5" s="200" t="str">
        <f>VLOOKUP(入力!$I$14-2,和暦表示!$B$10:$D$35,2,FALSE)</f>
        <v>6年度実績</v>
      </c>
      <c r="E5" s="200" t="str">
        <f>VLOOKUP(入力!$I$14-1,和暦表示!$B$10:$D$35,2,FALSE)</f>
        <v>7年度実績</v>
      </c>
      <c r="F5" s="201" t="str">
        <f>VLOOKUP(入力!$I$14,和暦表示!$B$10:$D$35,2,FALSE)</f>
        <v>8年度実績</v>
      </c>
      <c r="G5" s="202" t="str">
        <f>VLOOKUP(入力!$I$14+1,和暦表示!$B$10:$D$35,2,FALSE)</f>
        <v>9年度見込</v>
      </c>
      <c r="H5" s="203" t="str">
        <f>VLOOKUP(入力!$I$14+2,和暦表示!$B$10:$D$35,2,FALSE)</f>
        <v>10年度見込</v>
      </c>
      <c r="I5" s="203" t="str">
        <f>VLOOKUP(入力!$I$14+3,和暦表示!$B$10:$D$35,2,FALSE)</f>
        <v>11年度見込</v>
      </c>
      <c r="J5" s="204" t="str">
        <f>VLOOKUP(入力!$I$14+4,和暦表示!$B$10:$D$35,2,FALSE)</f>
        <v>12年度見込</v>
      </c>
      <c r="K5" s="177" t="str">
        <f>"当初最終年度
"&amp;VLOOKUP(入力!$I$8+4,和暦表示!$B$10:$D$35,2,FALSE)</f>
        <v>当初最終年度
12年度見込</v>
      </c>
    </row>
    <row r="6" spans="1:11" ht="25.5" customHeight="1" x14ac:dyDescent="0.2">
      <c r="A6" s="11" t="s">
        <v>121</v>
      </c>
      <c r="B6" s="278"/>
      <c r="C6" s="90"/>
      <c r="D6" s="91"/>
      <c r="E6" s="91"/>
      <c r="F6" s="96"/>
      <c r="G6" s="165"/>
      <c r="H6" s="89"/>
      <c r="I6" s="12"/>
      <c r="J6" s="145"/>
      <c r="K6" s="178"/>
    </row>
    <row r="7" spans="1:11" ht="25.5" customHeight="1" x14ac:dyDescent="0.2">
      <c r="A7" s="11" t="s">
        <v>122</v>
      </c>
      <c r="B7" s="278"/>
      <c r="C7" s="90"/>
      <c r="D7" s="91"/>
      <c r="E7" s="91"/>
      <c r="F7" s="96"/>
      <c r="G7" s="165"/>
      <c r="H7" s="89"/>
      <c r="I7" s="12"/>
      <c r="J7" s="145"/>
      <c r="K7" s="178"/>
    </row>
    <row r="8" spans="1:11" ht="25.5" customHeight="1" x14ac:dyDescent="0.2">
      <c r="A8" s="11" t="s">
        <v>123</v>
      </c>
      <c r="B8" s="278"/>
      <c r="C8" s="90"/>
      <c r="D8" s="91"/>
      <c r="E8" s="91"/>
      <c r="F8" s="96"/>
      <c r="G8" s="165"/>
      <c r="H8" s="89"/>
      <c r="I8" s="12"/>
      <c r="J8" s="145"/>
      <c r="K8" s="178"/>
    </row>
    <row r="9" spans="1:11" ht="25.5" customHeight="1" x14ac:dyDescent="0.2">
      <c r="A9" s="14"/>
      <c r="B9" s="86" t="s">
        <v>20</v>
      </c>
      <c r="C9" s="90"/>
      <c r="D9" s="91"/>
      <c r="E9" s="91"/>
      <c r="F9" s="96"/>
      <c r="G9" s="165"/>
      <c r="H9" s="89"/>
      <c r="I9" s="12"/>
      <c r="J9" s="145"/>
      <c r="K9" s="178"/>
    </row>
    <row r="10" spans="1:11" ht="25.5" customHeight="1" x14ac:dyDescent="0.2">
      <c r="A10" s="24" t="s">
        <v>124</v>
      </c>
      <c r="B10" s="210" t="e">
        <f>(C10/C8+D10/D8+E10/E8+F10/F8)/4</f>
        <v>#DIV/0!</v>
      </c>
      <c r="C10" s="99"/>
      <c r="D10" s="100"/>
      <c r="E10" s="481"/>
      <c r="F10" s="101"/>
      <c r="G10" s="168"/>
      <c r="H10" s="102"/>
      <c r="I10" s="25"/>
      <c r="J10" s="175"/>
      <c r="K10" s="179"/>
    </row>
    <row r="11" spans="1:11" ht="25.5" customHeight="1" x14ac:dyDescent="0.2">
      <c r="A11" s="21" t="s">
        <v>125</v>
      </c>
      <c r="B11" s="211" t="e">
        <f>(D11/C10+E11/D10+F11/E10)/3</f>
        <v>#DIV/0!</v>
      </c>
      <c r="C11" s="103"/>
      <c r="D11" s="104"/>
      <c r="E11" s="104"/>
      <c r="F11" s="105"/>
      <c r="G11" s="169"/>
      <c r="H11" s="106"/>
      <c r="I11" s="22"/>
      <c r="J11" s="144"/>
      <c r="K11" s="180"/>
    </row>
    <row r="12" spans="1:11" ht="25.5" customHeight="1" x14ac:dyDescent="0.2">
      <c r="A12" s="21" t="s">
        <v>126</v>
      </c>
      <c r="B12" s="211" t="str">
        <f>IF(G12="","",(D12/C11+E12/D11+F12/E11)/3)</f>
        <v/>
      </c>
      <c r="C12" s="103"/>
      <c r="D12" s="104"/>
      <c r="E12" s="104"/>
      <c r="F12" s="105"/>
      <c r="G12" s="169"/>
      <c r="H12" s="106"/>
      <c r="I12" s="22"/>
      <c r="J12" s="144"/>
      <c r="K12" s="180"/>
    </row>
    <row r="13" spans="1:11" ht="25.5" customHeight="1" x14ac:dyDescent="0.2">
      <c r="A13" s="21" t="s">
        <v>127</v>
      </c>
      <c r="B13" s="211" t="str">
        <f>IF(G13="","",(D13/C12+E13/D12+F13/E12)/3)</f>
        <v/>
      </c>
      <c r="C13" s="103"/>
      <c r="D13" s="104"/>
      <c r="E13" s="104"/>
      <c r="F13" s="105"/>
      <c r="G13" s="169"/>
      <c r="H13" s="106"/>
      <c r="I13" s="22"/>
      <c r="J13" s="144"/>
      <c r="K13" s="180"/>
    </row>
    <row r="14" spans="1:11" ht="25.5" customHeight="1" x14ac:dyDescent="0.2">
      <c r="A14" s="21" t="s">
        <v>128</v>
      </c>
      <c r="B14" s="211" t="str">
        <f>IF(G14="","",(D14/C13+E14/D13+F14/E13)/3)</f>
        <v/>
      </c>
      <c r="C14" s="103"/>
      <c r="D14" s="104"/>
      <c r="E14" s="104"/>
      <c r="F14" s="105"/>
      <c r="G14" s="169"/>
      <c r="H14" s="106"/>
      <c r="I14" s="22"/>
      <c r="J14" s="144"/>
      <c r="K14" s="180"/>
    </row>
    <row r="15" spans="1:11" ht="25.5" customHeight="1" x14ac:dyDescent="0.2">
      <c r="A15" s="27" t="s">
        <v>129</v>
      </c>
      <c r="B15" s="212" t="str">
        <f>IF(G15="","",(D15/C14+E15/D14+F15/E14)/3)</f>
        <v/>
      </c>
      <c r="C15" s="107"/>
      <c r="D15" s="108"/>
      <c r="E15" s="108"/>
      <c r="F15" s="109"/>
      <c r="G15" s="161"/>
      <c r="H15" s="110"/>
      <c r="I15" s="28"/>
      <c r="J15" s="176"/>
      <c r="K15" s="181"/>
    </row>
    <row r="16" spans="1:11" ht="25.5" customHeight="1" thickBot="1" x14ac:dyDescent="0.25">
      <c r="A16" s="16" t="s">
        <v>206</v>
      </c>
      <c r="B16" s="87"/>
      <c r="C16" s="90">
        <f>SUM(C10:C15)</f>
        <v>0</v>
      </c>
      <c r="D16" s="91">
        <f>SUM(D10:D15)</f>
        <v>0</v>
      </c>
      <c r="E16" s="91">
        <f>SUM(E10:E15)</f>
        <v>0</v>
      </c>
      <c r="F16" s="97">
        <f>SUM(F10:F15)</f>
        <v>0</v>
      </c>
      <c r="G16" s="165">
        <f>SUM(G10:G15)</f>
        <v>0</v>
      </c>
      <c r="H16" s="12">
        <f t="shared" ref="H16:K16" si="0">SUM(H10:H15)</f>
        <v>0</v>
      </c>
      <c r="I16" s="12">
        <f t="shared" si="0"/>
        <v>0</v>
      </c>
      <c r="J16" s="317">
        <f t="shared" si="0"/>
        <v>0</v>
      </c>
      <c r="K16" s="178">
        <f t="shared" si="0"/>
        <v>0</v>
      </c>
    </row>
    <row r="17" spans="1:11" ht="25.5" customHeight="1" x14ac:dyDescent="0.2">
      <c r="A17" s="15" t="s">
        <v>169</v>
      </c>
      <c r="B17" s="88"/>
      <c r="C17" s="90"/>
      <c r="D17" s="91"/>
      <c r="E17" s="92"/>
      <c r="F17" s="167"/>
      <c r="G17" s="114"/>
      <c r="H17" s="12"/>
      <c r="I17" s="12"/>
      <c r="J17" s="145"/>
      <c r="K17" s="178"/>
    </row>
    <row r="18" spans="1:11" ht="25.5" customHeight="1" x14ac:dyDescent="0.2">
      <c r="A18" s="15" t="s">
        <v>170</v>
      </c>
      <c r="B18" s="88"/>
      <c r="C18" s="115"/>
      <c r="D18" s="117"/>
      <c r="E18" s="140"/>
      <c r="F18" s="166"/>
      <c r="G18" s="89"/>
      <c r="H18" s="12"/>
      <c r="I18" s="12"/>
      <c r="J18" s="145"/>
      <c r="K18" s="178"/>
    </row>
    <row r="19" spans="1:11" ht="25.5" customHeight="1" x14ac:dyDescent="0.2">
      <c r="A19" s="15" t="s">
        <v>197</v>
      </c>
      <c r="B19" s="88"/>
      <c r="C19" s="90"/>
      <c r="D19" s="91"/>
      <c r="E19" s="92"/>
      <c r="F19" s="165"/>
      <c r="G19" s="89"/>
      <c r="H19" s="12"/>
      <c r="I19" s="12"/>
      <c r="J19" s="145"/>
      <c r="K19" s="178"/>
    </row>
    <row r="20" spans="1:11" ht="25.5" customHeight="1" thickBot="1" x14ac:dyDescent="0.25">
      <c r="A20" s="15" t="s">
        <v>171</v>
      </c>
      <c r="B20" s="88"/>
      <c r="C20" s="93"/>
      <c r="D20" s="94"/>
      <c r="E20" s="95"/>
      <c r="F20" s="165"/>
      <c r="G20" s="89"/>
      <c r="H20" s="12"/>
      <c r="I20" s="12"/>
      <c r="J20" s="145"/>
      <c r="K20" s="182"/>
    </row>
    <row r="22" spans="1:11" ht="24.75" customHeight="1" thickBot="1" x14ac:dyDescent="0.25">
      <c r="A22" s="1" t="s">
        <v>168</v>
      </c>
    </row>
    <row r="23" spans="1:11" ht="30" customHeight="1" x14ac:dyDescent="0.2">
      <c r="A23" s="10"/>
      <c r="B23" s="84"/>
      <c r="C23" s="199" t="str">
        <f>C5</f>
        <v>5年度実績</v>
      </c>
      <c r="D23" s="200" t="str">
        <f t="shared" ref="D23:K23" si="1">D5</f>
        <v>6年度実績</v>
      </c>
      <c r="E23" s="200" t="str">
        <f t="shared" si="1"/>
        <v>7年度実績</v>
      </c>
      <c r="F23" s="201" t="str">
        <f t="shared" si="1"/>
        <v>8年度実績</v>
      </c>
      <c r="G23" s="202" t="str">
        <f t="shared" si="1"/>
        <v>9年度見込</v>
      </c>
      <c r="H23" s="203" t="str">
        <f t="shared" si="1"/>
        <v>10年度見込</v>
      </c>
      <c r="I23" s="203" t="str">
        <f t="shared" si="1"/>
        <v>11年度見込</v>
      </c>
      <c r="J23" s="205" t="str">
        <f t="shared" si="1"/>
        <v>12年度見込</v>
      </c>
      <c r="K23" s="177" t="str">
        <f t="shared" si="1"/>
        <v>当初最終年度
12年度見込</v>
      </c>
    </row>
    <row r="24" spans="1:11" ht="25.5" customHeight="1" x14ac:dyDescent="0.2">
      <c r="A24" s="11" t="s">
        <v>121</v>
      </c>
      <c r="B24" s="85"/>
      <c r="C24" s="90"/>
      <c r="D24" s="91"/>
      <c r="E24" s="91"/>
      <c r="F24" s="96"/>
      <c r="G24" s="165"/>
      <c r="H24" s="89"/>
      <c r="I24" s="12"/>
      <c r="J24" s="13"/>
      <c r="K24" s="178"/>
    </row>
    <row r="25" spans="1:11" ht="25.5" customHeight="1" x14ac:dyDescent="0.2">
      <c r="A25" s="11" t="s">
        <v>122</v>
      </c>
      <c r="B25" s="85"/>
      <c r="C25" s="90"/>
      <c r="D25" s="91"/>
      <c r="E25" s="91"/>
      <c r="F25" s="96"/>
      <c r="G25" s="165"/>
      <c r="H25" s="89"/>
      <c r="I25" s="12"/>
      <c r="J25" s="13"/>
      <c r="K25" s="178"/>
    </row>
    <row r="26" spans="1:11" ht="25.5" customHeight="1" x14ac:dyDescent="0.2">
      <c r="A26" s="11" t="s">
        <v>123</v>
      </c>
      <c r="B26" s="85"/>
      <c r="C26" s="90"/>
      <c r="D26" s="91"/>
      <c r="E26" s="91"/>
      <c r="F26" s="96"/>
      <c r="G26" s="165"/>
      <c r="H26" s="89"/>
      <c r="I26" s="12"/>
      <c r="J26" s="13"/>
      <c r="K26" s="178"/>
    </row>
    <row r="27" spans="1:11" ht="25.5" customHeight="1" x14ac:dyDescent="0.2">
      <c r="A27" s="14"/>
      <c r="B27" s="86" t="s">
        <v>20</v>
      </c>
      <c r="C27" s="90"/>
      <c r="D27" s="91"/>
      <c r="E27" s="91"/>
      <c r="F27" s="96"/>
      <c r="G27" s="165"/>
      <c r="H27" s="89"/>
      <c r="I27" s="12"/>
      <c r="J27" s="13"/>
      <c r="K27" s="178"/>
    </row>
    <row r="28" spans="1:11" ht="25.5" customHeight="1" x14ac:dyDescent="0.2">
      <c r="A28" s="24" t="s">
        <v>124</v>
      </c>
      <c r="B28" s="210" t="e">
        <f>(C28/C26+D28/D26+E28/E26+F28/F26)/4</f>
        <v>#DIV/0!</v>
      </c>
      <c r="C28" s="99"/>
      <c r="D28" s="100"/>
      <c r="E28" s="481"/>
      <c r="F28" s="101"/>
      <c r="G28" s="168"/>
      <c r="H28" s="102"/>
      <c r="I28" s="25"/>
      <c r="J28" s="26"/>
      <c r="K28" s="179"/>
    </row>
    <row r="29" spans="1:11" ht="25.5" customHeight="1" x14ac:dyDescent="0.2">
      <c r="A29" s="21" t="s">
        <v>125</v>
      </c>
      <c r="B29" s="211" t="e">
        <f>(D29/C28+E29/D28+F29/E28)/3</f>
        <v>#DIV/0!</v>
      </c>
      <c r="C29" s="103"/>
      <c r="D29" s="104"/>
      <c r="E29" s="104"/>
      <c r="F29" s="105"/>
      <c r="G29" s="169"/>
      <c r="H29" s="106"/>
      <c r="I29" s="22"/>
      <c r="J29" s="23"/>
      <c r="K29" s="180"/>
    </row>
    <row r="30" spans="1:11" ht="25.5" customHeight="1" x14ac:dyDescent="0.2">
      <c r="A30" s="21" t="s">
        <v>126</v>
      </c>
      <c r="B30" s="211" t="str">
        <f>IF(G30="","",(D30/C29+E30/D29+F30/E29)/3)</f>
        <v/>
      </c>
      <c r="C30" s="103"/>
      <c r="D30" s="104"/>
      <c r="E30" s="104"/>
      <c r="F30" s="105"/>
      <c r="G30" s="169"/>
      <c r="H30" s="106"/>
      <c r="I30" s="22"/>
      <c r="J30" s="23"/>
      <c r="K30" s="180"/>
    </row>
    <row r="31" spans="1:11" ht="25.5" customHeight="1" x14ac:dyDescent="0.2">
      <c r="A31" s="21" t="s">
        <v>127</v>
      </c>
      <c r="B31" s="211" t="str">
        <f>IF(G31="","",(D31/C30+E31/D30+F31/E30)/3)</f>
        <v/>
      </c>
      <c r="C31" s="103"/>
      <c r="D31" s="104"/>
      <c r="E31" s="104"/>
      <c r="F31" s="105"/>
      <c r="G31" s="169"/>
      <c r="H31" s="106"/>
      <c r="I31" s="22"/>
      <c r="J31" s="23"/>
      <c r="K31" s="180"/>
    </row>
    <row r="32" spans="1:11" ht="25.5" customHeight="1" x14ac:dyDescent="0.2">
      <c r="A32" s="21" t="s">
        <v>128</v>
      </c>
      <c r="B32" s="211" t="str">
        <f>IF(G32="","",(D32/C31+E32/D31+F32/E31)/3)</f>
        <v/>
      </c>
      <c r="C32" s="103"/>
      <c r="D32" s="104"/>
      <c r="E32" s="104"/>
      <c r="F32" s="105"/>
      <c r="G32" s="169"/>
      <c r="H32" s="106"/>
      <c r="I32" s="22"/>
      <c r="J32" s="23"/>
      <c r="K32" s="180"/>
    </row>
    <row r="33" spans="1:11" ht="25.5" customHeight="1" x14ac:dyDescent="0.2">
      <c r="A33" s="27" t="s">
        <v>129</v>
      </c>
      <c r="B33" s="212" t="str">
        <f>IF(G33="","",(D33/C32+E33/D32+F33/E32)/3)</f>
        <v/>
      </c>
      <c r="C33" s="107"/>
      <c r="D33" s="108"/>
      <c r="E33" s="108"/>
      <c r="F33" s="109"/>
      <c r="G33" s="161"/>
      <c r="H33" s="110"/>
      <c r="I33" s="28"/>
      <c r="J33" s="29"/>
      <c r="K33" s="181"/>
    </row>
    <row r="34" spans="1:11" ht="25.5" customHeight="1" thickBot="1" x14ac:dyDescent="0.25">
      <c r="A34" s="16" t="s">
        <v>206</v>
      </c>
      <c r="B34" s="87"/>
      <c r="C34" s="90">
        <f>SUM(C28:C33)</f>
        <v>0</v>
      </c>
      <c r="D34" s="91">
        <f>SUM(D28:D33)</f>
        <v>0</v>
      </c>
      <c r="E34" s="91">
        <f>SUM(E28:E33)</f>
        <v>0</v>
      </c>
      <c r="F34" s="97">
        <f>SUM(F28:F33)</f>
        <v>0</v>
      </c>
      <c r="G34" s="165">
        <f>SUM(G28:G33)</f>
        <v>0</v>
      </c>
      <c r="H34" s="89">
        <f t="shared" ref="H34" si="2">SUM(H28:H33)</f>
        <v>0</v>
      </c>
      <c r="I34" s="12">
        <f t="shared" ref="I34" si="3">SUM(I28:I33)</f>
        <v>0</v>
      </c>
      <c r="J34" s="13">
        <f t="shared" ref="J34" si="4">SUM(J28:J33)</f>
        <v>0</v>
      </c>
      <c r="K34" s="178">
        <f t="shared" ref="K34" si="5">SUM(K28:K33)</f>
        <v>0</v>
      </c>
    </row>
    <row r="35" spans="1:11" ht="25.5" customHeight="1" x14ac:dyDescent="0.2">
      <c r="A35" s="15" t="s">
        <v>169</v>
      </c>
      <c r="B35" s="88"/>
      <c r="C35" s="90"/>
      <c r="D35" s="91"/>
      <c r="E35" s="92"/>
      <c r="F35" s="167"/>
      <c r="G35" s="114"/>
      <c r="H35" s="12"/>
      <c r="I35" s="12"/>
      <c r="J35" s="13"/>
      <c r="K35" s="178"/>
    </row>
    <row r="36" spans="1:11" ht="25.5" customHeight="1" x14ac:dyDescent="0.2">
      <c r="A36" s="15" t="s">
        <v>170</v>
      </c>
      <c r="B36" s="88"/>
      <c r="C36" s="115"/>
      <c r="D36" s="117"/>
      <c r="E36" s="140"/>
      <c r="F36" s="166"/>
      <c r="G36" s="89"/>
      <c r="H36" s="12"/>
      <c r="I36" s="12"/>
      <c r="J36" s="13"/>
      <c r="K36" s="178"/>
    </row>
    <row r="37" spans="1:11" ht="25.5" customHeight="1" x14ac:dyDescent="0.2">
      <c r="A37" s="15" t="s">
        <v>197</v>
      </c>
      <c r="B37" s="88"/>
      <c r="C37" s="90"/>
      <c r="D37" s="91"/>
      <c r="E37" s="92"/>
      <c r="F37" s="165"/>
      <c r="G37" s="89"/>
      <c r="H37" s="12"/>
      <c r="I37" s="12"/>
      <c r="J37" s="13"/>
      <c r="K37" s="178"/>
    </row>
    <row r="38" spans="1:11" ht="25.5" customHeight="1" thickBot="1" x14ac:dyDescent="0.25">
      <c r="A38" s="15" t="s">
        <v>171</v>
      </c>
      <c r="B38" s="88"/>
      <c r="C38" s="93"/>
      <c r="D38" s="94"/>
      <c r="E38" s="95"/>
      <c r="F38" s="165"/>
      <c r="G38" s="89"/>
      <c r="H38" s="12"/>
      <c r="I38" s="12"/>
      <c r="J38" s="13"/>
      <c r="K38" s="182"/>
    </row>
    <row r="40" spans="1:11" ht="24.75" customHeight="1" thickBot="1" x14ac:dyDescent="0.25">
      <c r="A40" s="1" t="s">
        <v>130</v>
      </c>
    </row>
    <row r="41" spans="1:11" ht="30" customHeight="1" x14ac:dyDescent="0.2">
      <c r="A41" s="10"/>
      <c r="B41" s="84"/>
      <c r="C41" s="199" t="str">
        <f>C23</f>
        <v>5年度実績</v>
      </c>
      <c r="D41" s="200" t="str">
        <f t="shared" ref="D41:K41" si="6">D23</f>
        <v>6年度実績</v>
      </c>
      <c r="E41" s="200" t="str">
        <f t="shared" si="6"/>
        <v>7年度実績</v>
      </c>
      <c r="F41" s="201" t="str">
        <f t="shared" si="6"/>
        <v>8年度実績</v>
      </c>
      <c r="G41" s="202" t="str">
        <f t="shared" si="6"/>
        <v>9年度見込</v>
      </c>
      <c r="H41" s="203" t="str">
        <f t="shared" si="6"/>
        <v>10年度見込</v>
      </c>
      <c r="I41" s="203" t="str">
        <f t="shared" si="6"/>
        <v>11年度見込</v>
      </c>
      <c r="J41" s="204" t="str">
        <f t="shared" si="6"/>
        <v>12年度見込</v>
      </c>
      <c r="K41" s="177" t="str">
        <f t="shared" si="6"/>
        <v>当初最終年度
12年度見込</v>
      </c>
    </row>
    <row r="42" spans="1:11" ht="25.5" customHeight="1" x14ac:dyDescent="0.2">
      <c r="A42" s="11" t="s">
        <v>121</v>
      </c>
      <c r="B42" s="85"/>
      <c r="C42" s="90"/>
      <c r="D42" s="91"/>
      <c r="E42" s="91"/>
      <c r="F42" s="96"/>
      <c r="G42" s="165"/>
      <c r="H42" s="89"/>
      <c r="I42" s="12"/>
      <c r="J42" s="145"/>
      <c r="K42" s="178"/>
    </row>
    <row r="43" spans="1:11" ht="25.5" customHeight="1" x14ac:dyDescent="0.2">
      <c r="A43" s="11" t="s">
        <v>122</v>
      </c>
      <c r="B43" s="85"/>
      <c r="C43" s="90"/>
      <c r="D43" s="91"/>
      <c r="E43" s="91"/>
      <c r="F43" s="96"/>
      <c r="G43" s="165"/>
      <c r="H43" s="89"/>
      <c r="I43" s="12"/>
      <c r="J43" s="145"/>
      <c r="K43" s="178"/>
    </row>
    <row r="44" spans="1:11" ht="25.5" customHeight="1" x14ac:dyDescent="0.2">
      <c r="A44" s="11" t="s">
        <v>123</v>
      </c>
      <c r="B44" s="85"/>
      <c r="C44" s="90"/>
      <c r="D44" s="91"/>
      <c r="E44" s="91"/>
      <c r="F44" s="96"/>
      <c r="G44" s="165"/>
      <c r="H44" s="89"/>
      <c r="I44" s="12"/>
      <c r="J44" s="145"/>
      <c r="K44" s="178"/>
    </row>
    <row r="45" spans="1:11" ht="25.5" customHeight="1" x14ac:dyDescent="0.2">
      <c r="A45" s="14"/>
      <c r="B45" s="86" t="s">
        <v>20</v>
      </c>
      <c r="C45" s="90"/>
      <c r="D45" s="91"/>
      <c r="E45" s="91"/>
      <c r="F45" s="96"/>
      <c r="G45" s="165"/>
      <c r="H45" s="89"/>
      <c r="I45" s="12"/>
      <c r="J45" s="145"/>
      <c r="K45" s="178"/>
    </row>
    <row r="46" spans="1:11" ht="25.5" customHeight="1" x14ac:dyDescent="0.2">
      <c r="A46" s="24" t="s">
        <v>124</v>
      </c>
      <c r="B46" s="210" t="e">
        <f>(C46/C44+D46/D44+E46/E44+F46/F44)/4</f>
        <v>#DIV/0!</v>
      </c>
      <c r="C46" s="99"/>
      <c r="D46" s="100"/>
      <c r="E46" s="481"/>
      <c r="F46" s="101"/>
      <c r="G46" s="168"/>
      <c r="H46" s="102"/>
      <c r="I46" s="25"/>
      <c r="J46" s="175"/>
      <c r="K46" s="179"/>
    </row>
    <row r="47" spans="1:11" ht="25.5" customHeight="1" x14ac:dyDescent="0.2">
      <c r="A47" s="21" t="s">
        <v>125</v>
      </c>
      <c r="B47" s="211" t="e">
        <f>(D47/C46+E47/D46+F47/E46)/3</f>
        <v>#DIV/0!</v>
      </c>
      <c r="C47" s="103"/>
      <c r="D47" s="104"/>
      <c r="E47" s="104"/>
      <c r="F47" s="105"/>
      <c r="G47" s="169"/>
      <c r="H47" s="106"/>
      <c r="I47" s="22"/>
      <c r="J47" s="144"/>
      <c r="K47" s="180"/>
    </row>
    <row r="48" spans="1:11" ht="25.5" customHeight="1" x14ac:dyDescent="0.2">
      <c r="A48" s="21" t="s">
        <v>126</v>
      </c>
      <c r="B48" s="211" t="str">
        <f>IF(G48="","",(D48/C47+E48/D47+F48/E47)/3)</f>
        <v/>
      </c>
      <c r="C48" s="103"/>
      <c r="D48" s="104"/>
      <c r="E48" s="104"/>
      <c r="F48" s="105"/>
      <c r="G48" s="169"/>
      <c r="H48" s="106"/>
      <c r="I48" s="22"/>
      <c r="J48" s="144"/>
      <c r="K48" s="180"/>
    </row>
    <row r="49" spans="1:11" ht="25.5" customHeight="1" x14ac:dyDescent="0.2">
      <c r="A49" s="21" t="s">
        <v>127</v>
      </c>
      <c r="B49" s="211" t="str">
        <f>IF(G49="","",(D49/C48+E49/D48+F49/E48)/3)</f>
        <v/>
      </c>
      <c r="C49" s="103"/>
      <c r="D49" s="104"/>
      <c r="E49" s="104"/>
      <c r="F49" s="105"/>
      <c r="G49" s="169"/>
      <c r="H49" s="106"/>
      <c r="I49" s="22"/>
      <c r="J49" s="144"/>
      <c r="K49" s="180"/>
    </row>
    <row r="50" spans="1:11" ht="25.5" customHeight="1" x14ac:dyDescent="0.2">
      <c r="A50" s="21" t="s">
        <v>128</v>
      </c>
      <c r="B50" s="211" t="str">
        <f>IF(G50="","",(D50/C49+E50/D49+F50/E49)/3)</f>
        <v/>
      </c>
      <c r="C50" s="103"/>
      <c r="D50" s="104"/>
      <c r="E50" s="104"/>
      <c r="F50" s="105"/>
      <c r="G50" s="169"/>
      <c r="H50" s="106"/>
      <c r="I50" s="22"/>
      <c r="J50" s="144"/>
      <c r="K50" s="180"/>
    </row>
    <row r="51" spans="1:11" ht="25.5" customHeight="1" x14ac:dyDescent="0.2">
      <c r="A51" s="27" t="s">
        <v>129</v>
      </c>
      <c r="B51" s="212" t="str">
        <f>IF(G51="","",(D51/C50+E51/D50+F51/E50)/3)</f>
        <v/>
      </c>
      <c r="C51" s="107"/>
      <c r="D51" s="108"/>
      <c r="E51" s="108"/>
      <c r="F51" s="109"/>
      <c r="G51" s="161"/>
      <c r="H51" s="110"/>
      <c r="I51" s="28"/>
      <c r="J51" s="176"/>
      <c r="K51" s="181"/>
    </row>
    <row r="52" spans="1:11" ht="25.5" customHeight="1" thickBot="1" x14ac:dyDescent="0.25">
      <c r="A52" s="16" t="s">
        <v>206</v>
      </c>
      <c r="B52" s="87"/>
      <c r="C52" s="90">
        <f>SUM(C46:C51)</f>
        <v>0</v>
      </c>
      <c r="D52" s="91">
        <f>SUM(D46:D51)</f>
        <v>0</v>
      </c>
      <c r="E52" s="91">
        <f>SUM(E46:E51)</f>
        <v>0</v>
      </c>
      <c r="F52" s="97">
        <f>SUM(F46:F51)</f>
        <v>0</v>
      </c>
      <c r="G52" s="165">
        <f>SUM(G46:G51)</f>
        <v>0</v>
      </c>
      <c r="H52" s="89">
        <f t="shared" ref="H52" si="7">SUM(H46:H51)</f>
        <v>0</v>
      </c>
      <c r="I52" s="12">
        <f t="shared" ref="I52" si="8">SUM(I46:I51)</f>
        <v>0</v>
      </c>
      <c r="J52" s="145">
        <f t="shared" ref="J52" si="9">SUM(J46:J51)</f>
        <v>0</v>
      </c>
      <c r="K52" s="178">
        <f t="shared" ref="K52" si="10">SUM(K46:K51)</f>
        <v>0</v>
      </c>
    </row>
    <row r="53" spans="1:11" ht="25.5" customHeight="1" x14ac:dyDescent="0.2">
      <c r="A53" s="15" t="s">
        <v>172</v>
      </c>
      <c r="B53" s="98"/>
      <c r="C53" s="115"/>
      <c r="D53" s="117"/>
      <c r="E53" s="140"/>
      <c r="F53" s="482"/>
      <c r="G53" s="191"/>
      <c r="H53" s="12"/>
      <c r="I53" s="12"/>
      <c r="J53" s="145"/>
      <c r="K53" s="178"/>
    </row>
    <row r="54" spans="1:11" ht="25.5" customHeight="1" x14ac:dyDescent="0.2">
      <c r="A54" s="15" t="s">
        <v>197</v>
      </c>
      <c r="B54" s="88"/>
      <c r="C54" s="90"/>
      <c r="D54" s="91"/>
      <c r="E54" s="92"/>
      <c r="F54" s="165"/>
      <c r="G54" s="89"/>
      <c r="H54" s="12"/>
      <c r="I54" s="12"/>
      <c r="J54" s="145"/>
      <c r="K54" s="178"/>
    </row>
    <row r="55" spans="1:11" ht="25.5" customHeight="1" x14ac:dyDescent="0.2">
      <c r="A55" s="15" t="s">
        <v>171</v>
      </c>
      <c r="B55" s="88"/>
      <c r="C55" s="90"/>
      <c r="D55" s="91"/>
      <c r="E55" s="92"/>
      <c r="F55" s="165"/>
      <c r="G55" s="89"/>
      <c r="H55" s="12"/>
      <c r="I55" s="12"/>
      <c r="J55" s="145"/>
      <c r="K55" s="178"/>
    </row>
    <row r="56" spans="1:11" ht="25.5" customHeight="1" thickBot="1" x14ac:dyDescent="0.25">
      <c r="A56" s="15" t="s">
        <v>198</v>
      </c>
      <c r="B56" s="88"/>
      <c r="C56" s="170"/>
      <c r="D56" s="171"/>
      <c r="E56" s="172"/>
      <c r="F56" s="167"/>
      <c r="G56" s="114"/>
      <c r="H56" s="12"/>
      <c r="I56" s="12"/>
      <c r="J56" s="145"/>
      <c r="K56" s="182"/>
    </row>
  </sheetData>
  <phoneticPr fontId="2"/>
  <conditionalFormatting sqref="C5:K5 C23:K23 C41:K41">
    <cfRule type="cellIs" dxfId="818" priority="1" stopIfTrue="1" operator="between">
      <formula>"実績"</formula>
      <formula>"実績"</formula>
    </cfRule>
    <cfRule type="cellIs" dxfId="817" priority="2" stopIfTrue="1" operator="between">
      <formula>"見込"</formula>
      <formula>"見込"</formula>
    </cfRule>
  </conditionalFormatting>
  <pageMargins left="0.74803149606299213" right="0.39370078740157483" top="0.70866141732283472" bottom="0.47244094488188981" header="0.39370078740157483" footer="0.23622047244094491"/>
  <pageSetup paperSize="9" scale="59" orientation="portrait" r:id="rId1"/>
  <headerFooter alignWithMargins="0">
    <oddHeader xml:space="preserve">&amp;R
</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52"/>
  <sheetViews>
    <sheetView zoomScale="85" zoomScaleNormal="85" workbookViewId="0">
      <pane xSplit="1" ySplit="4" topLeftCell="B5" activePane="bottomRight" state="frozen"/>
      <selection activeCell="H18" sqref="H18"/>
      <selection pane="topRight" activeCell="H18" sqref="H18"/>
      <selection pane="bottomLeft" activeCell="H18" sqref="H18"/>
      <selection pane="bottomRight"/>
    </sheetView>
  </sheetViews>
  <sheetFormatPr defaultColWidth="9" defaultRowHeight="14.4" x14ac:dyDescent="0.2"/>
  <cols>
    <col min="1" max="1" width="41.44140625" style="8" customWidth="1"/>
    <col min="2" max="9" width="11.33203125" style="8" customWidth="1"/>
    <col min="10" max="10" width="12.77734375" style="8" customWidth="1"/>
    <col min="11" max="16384" width="9" style="8"/>
  </cols>
  <sheetData>
    <row r="1" spans="1:10" s="18" customFormat="1" ht="51.75" customHeight="1" x14ac:dyDescent="0.2">
      <c r="A1" s="17" t="s">
        <v>155</v>
      </c>
      <c r="B1" s="17" t="str">
        <f>CONCATENATE("（","法人番号：",入力!B2,"　　","法人名：",入力!B5,"）")</f>
        <v>（法人番号：131999　　法人名：東西大学）</v>
      </c>
      <c r="C1" s="17"/>
      <c r="D1" s="17"/>
      <c r="E1" s="17"/>
      <c r="F1" s="17"/>
      <c r="G1" s="17"/>
      <c r="H1" s="17"/>
      <c r="J1" s="19" t="s">
        <v>131</v>
      </c>
    </row>
    <row r="2" spans="1:10" s="18" customFormat="1" ht="21.75" customHeight="1" x14ac:dyDescent="0.2">
      <c r="A2" s="17"/>
      <c r="B2" s="17"/>
      <c r="C2" s="17"/>
      <c r="D2" s="17"/>
      <c r="E2" s="17"/>
      <c r="F2" s="17"/>
      <c r="G2" s="17"/>
      <c r="H2" s="265"/>
      <c r="I2" s="288"/>
      <c r="J2" s="274" t="str">
        <f>入力!E18</f>
        <v>新規</v>
      </c>
    </row>
    <row r="3" spans="1:10" ht="21.75" customHeight="1" thickBot="1" x14ac:dyDescent="0.25">
      <c r="A3" s="1" t="s">
        <v>120</v>
      </c>
      <c r="I3" s="1"/>
    </row>
    <row r="4" spans="1:10" ht="32.25" customHeight="1" x14ac:dyDescent="0.2">
      <c r="A4" s="10"/>
      <c r="B4" s="199" t="str">
        <f>VLOOKUP(入力!$I$14-3,和暦表示!$B$10:$D$35,2,FALSE)</f>
        <v>5年度実績</v>
      </c>
      <c r="C4" s="200" t="str">
        <f>VLOOKUP(入力!$I$14-2,和暦表示!$B$10:$D$35,2,FALSE)</f>
        <v>6年度実績</v>
      </c>
      <c r="D4" s="200" t="str">
        <f>VLOOKUP(入力!$I$14-1,和暦表示!$B$10:$D$35,2,FALSE)</f>
        <v>7年度実績</v>
      </c>
      <c r="E4" s="201" t="str">
        <f>VLOOKUP(入力!$I$14,和暦表示!$B$10:$D$35,2,FALSE)</f>
        <v>8年度実績</v>
      </c>
      <c r="F4" s="202" t="str">
        <f>VLOOKUP(入力!$I$14+1,和暦表示!$B$10:$D$35,2,FALSE)</f>
        <v>9年度見込</v>
      </c>
      <c r="G4" s="203" t="str">
        <f>VLOOKUP(入力!$I$14+2,和暦表示!$B$10:$D$35,2,FALSE)</f>
        <v>10年度見込</v>
      </c>
      <c r="H4" s="203" t="str">
        <f>VLOOKUP(入力!$I$14+3,和暦表示!$B$10:$D$35,2,FALSE)</f>
        <v>11年度見込</v>
      </c>
      <c r="I4" s="204" t="str">
        <f>VLOOKUP(入力!$I$14+4,和暦表示!$B$10:$D$35,2,FALSE)</f>
        <v>12年度見込</v>
      </c>
      <c r="J4" s="177" t="str">
        <f>"当初最終年度
"&amp;VLOOKUP(入力!$I$8+4,和暦表示!$B$10:$D$35,2,FALSE)</f>
        <v>当初最終年度
12年度見込</v>
      </c>
    </row>
    <row r="5" spans="1:10" ht="27" customHeight="1" thickBot="1" x14ac:dyDescent="0.25">
      <c r="A5" s="111" t="s">
        <v>199</v>
      </c>
      <c r="B5" s="115"/>
      <c r="C5" s="116">
        <f t="shared" ref="C5" si="0">B8</f>
        <v>0</v>
      </c>
      <c r="D5" s="117">
        <f t="shared" ref="D5" si="1">C8</f>
        <v>0</v>
      </c>
      <c r="E5" s="140">
        <f t="shared" ref="E5" si="2">D8</f>
        <v>0</v>
      </c>
      <c r="F5" s="166">
        <f t="shared" ref="F5" si="3">E8</f>
        <v>0</v>
      </c>
      <c r="G5" s="113">
        <f t="shared" ref="G5" si="4">F8</f>
        <v>0</v>
      </c>
      <c r="H5" s="20">
        <f t="shared" ref="H5" si="5">G8</f>
        <v>0</v>
      </c>
      <c r="I5" s="183">
        <f t="shared" ref="I5" si="6">H8</f>
        <v>0</v>
      </c>
      <c r="J5" s="185"/>
    </row>
    <row r="6" spans="1:10" ht="27" customHeight="1" x14ac:dyDescent="0.2">
      <c r="A6" s="65" t="s">
        <v>200</v>
      </c>
      <c r="B6" s="103"/>
      <c r="C6" s="118"/>
      <c r="D6" s="150"/>
      <c r="E6" s="174"/>
      <c r="F6" s="106"/>
      <c r="G6" s="106"/>
      <c r="H6" s="22"/>
      <c r="I6" s="144"/>
      <c r="J6" s="180"/>
    </row>
    <row r="7" spans="1:10" ht="27" customHeight="1" x14ac:dyDescent="0.2">
      <c r="A7" s="65" t="s">
        <v>514</v>
      </c>
      <c r="B7" s="103"/>
      <c r="C7" s="118"/>
      <c r="D7" s="150"/>
      <c r="E7" s="169"/>
      <c r="F7" s="106"/>
      <c r="G7" s="106"/>
      <c r="H7" s="22"/>
      <c r="I7" s="144"/>
      <c r="J7" s="180"/>
    </row>
    <row r="8" spans="1:10" ht="27" customHeight="1" thickBot="1" x14ac:dyDescent="0.25">
      <c r="A8" s="187" t="s">
        <v>218</v>
      </c>
      <c r="B8" s="188">
        <f>B5+B6-B7</f>
        <v>0</v>
      </c>
      <c r="C8" s="189">
        <f t="shared" ref="C8:I8" si="7">C5+C6-C7</f>
        <v>0</v>
      </c>
      <c r="D8" s="190">
        <f t="shared" si="7"/>
        <v>0</v>
      </c>
      <c r="E8" s="207">
        <f t="shared" si="7"/>
        <v>0</v>
      </c>
      <c r="F8" s="191">
        <f t="shared" si="7"/>
        <v>0</v>
      </c>
      <c r="G8" s="191">
        <f t="shared" si="7"/>
        <v>0</v>
      </c>
      <c r="H8" s="192">
        <f t="shared" si="7"/>
        <v>0</v>
      </c>
      <c r="I8" s="193">
        <f t="shared" si="7"/>
        <v>0</v>
      </c>
      <c r="J8" s="194">
        <f>J5+J6-J7</f>
        <v>0</v>
      </c>
    </row>
    <row r="9" spans="1:10" ht="26.25" customHeight="1" x14ac:dyDescent="0.2">
      <c r="A9" s="66" t="s">
        <v>217</v>
      </c>
      <c r="B9" s="107"/>
      <c r="C9" s="195"/>
      <c r="D9" s="196"/>
      <c r="E9" s="206"/>
      <c r="F9" s="110"/>
      <c r="G9" s="28"/>
      <c r="H9" s="28"/>
      <c r="I9" s="176"/>
      <c r="J9" s="181"/>
    </row>
    <row r="10" spans="1:10" ht="27" customHeight="1" thickBot="1" x14ac:dyDescent="0.25">
      <c r="A10" s="112" t="s">
        <v>219</v>
      </c>
      <c r="B10" s="99"/>
      <c r="C10" s="119">
        <f t="shared" ref="C10" si="8">B13</f>
        <v>0</v>
      </c>
      <c r="D10" s="100">
        <f t="shared" ref="D10" si="9">C13</f>
        <v>0</v>
      </c>
      <c r="E10" s="140">
        <f t="shared" ref="E10" si="10">D13</f>
        <v>0</v>
      </c>
      <c r="F10" s="168">
        <f t="shared" ref="F10" si="11">E13</f>
        <v>0</v>
      </c>
      <c r="G10" s="102">
        <f t="shared" ref="G10" si="12">F13</f>
        <v>0</v>
      </c>
      <c r="H10" s="25">
        <f t="shared" ref="H10" si="13">G13</f>
        <v>0</v>
      </c>
      <c r="I10" s="175">
        <f t="shared" ref="I10" si="14">H13</f>
        <v>0</v>
      </c>
      <c r="J10" s="179"/>
    </row>
    <row r="11" spans="1:10" ht="27" customHeight="1" x14ac:dyDescent="0.2">
      <c r="A11" s="65" t="s">
        <v>220</v>
      </c>
      <c r="B11" s="103"/>
      <c r="C11" s="118"/>
      <c r="D11" s="150"/>
      <c r="E11" s="174"/>
      <c r="F11" s="106"/>
      <c r="G11" s="106"/>
      <c r="H11" s="22"/>
      <c r="I11" s="144"/>
      <c r="J11" s="180"/>
    </row>
    <row r="12" spans="1:10" ht="27" customHeight="1" x14ac:dyDescent="0.2">
      <c r="A12" s="65" t="s">
        <v>515</v>
      </c>
      <c r="B12" s="103"/>
      <c r="C12" s="118"/>
      <c r="D12" s="150"/>
      <c r="E12" s="169"/>
      <c r="F12" s="106"/>
      <c r="G12" s="106"/>
      <c r="H12" s="22"/>
      <c r="I12" s="144"/>
      <c r="J12" s="180"/>
    </row>
    <row r="13" spans="1:10" ht="27" customHeight="1" thickBot="1" x14ac:dyDescent="0.25">
      <c r="A13" s="77" t="s">
        <v>221</v>
      </c>
      <c r="B13" s="156">
        <f t="shared" ref="B13:I13" si="15">B10+B11-B12</f>
        <v>0</v>
      </c>
      <c r="C13" s="157">
        <f t="shared" si="15"/>
        <v>0</v>
      </c>
      <c r="D13" s="151">
        <f t="shared" si="15"/>
        <v>0</v>
      </c>
      <c r="E13" s="208">
        <f t="shared" si="15"/>
        <v>0</v>
      </c>
      <c r="F13" s="159">
        <f t="shared" si="15"/>
        <v>0</v>
      </c>
      <c r="G13" s="159">
        <f t="shared" si="15"/>
        <v>0</v>
      </c>
      <c r="H13" s="160">
        <f t="shared" si="15"/>
        <v>0</v>
      </c>
      <c r="I13" s="184">
        <f t="shared" si="15"/>
        <v>0</v>
      </c>
      <c r="J13" s="186">
        <f>J10+J11-J12</f>
        <v>0</v>
      </c>
    </row>
    <row r="14" spans="1:10" ht="26.25" customHeight="1" thickBot="1" x14ac:dyDescent="0.25">
      <c r="A14" s="77" t="s">
        <v>211</v>
      </c>
      <c r="B14" s="156"/>
      <c r="C14" s="157"/>
      <c r="D14" s="158"/>
      <c r="E14" s="190"/>
      <c r="F14" s="173"/>
      <c r="G14" s="110"/>
      <c r="H14" s="28"/>
      <c r="I14" s="176"/>
      <c r="J14" s="181"/>
    </row>
    <row r="15" spans="1:10" ht="27" customHeight="1" x14ac:dyDescent="0.2">
      <c r="A15" s="112" t="s">
        <v>173</v>
      </c>
      <c r="B15" s="115"/>
      <c r="C15" s="117"/>
      <c r="D15" s="140"/>
      <c r="E15" s="174"/>
      <c r="F15" s="102"/>
      <c r="G15" s="20"/>
      <c r="H15" s="20"/>
      <c r="I15" s="183"/>
      <c r="J15" s="185"/>
    </row>
    <row r="16" spans="1:10" ht="27" customHeight="1" x14ac:dyDescent="0.2">
      <c r="A16" s="65" t="s">
        <v>174</v>
      </c>
      <c r="B16" s="156"/>
      <c r="C16" s="158"/>
      <c r="D16" s="151"/>
      <c r="E16" s="173"/>
      <c r="F16" s="159"/>
      <c r="G16" s="160"/>
      <c r="H16" s="160"/>
      <c r="I16" s="184"/>
      <c r="J16" s="186"/>
    </row>
    <row r="17" spans="1:10" ht="27" customHeight="1" x14ac:dyDescent="0.2">
      <c r="A17" s="65" t="s">
        <v>212</v>
      </c>
      <c r="B17" s="103"/>
      <c r="C17" s="104"/>
      <c r="D17" s="150"/>
      <c r="E17" s="169"/>
      <c r="F17" s="106"/>
      <c r="G17" s="22"/>
      <c r="H17" s="22"/>
      <c r="I17" s="144"/>
      <c r="J17" s="180"/>
    </row>
    <row r="18" spans="1:10" ht="27" customHeight="1" thickBot="1" x14ac:dyDescent="0.25">
      <c r="A18" s="66" t="s">
        <v>213</v>
      </c>
      <c r="B18" s="483"/>
      <c r="C18" s="484"/>
      <c r="D18" s="485"/>
      <c r="E18" s="161"/>
      <c r="F18" s="110"/>
      <c r="G18" s="28"/>
      <c r="H18" s="28"/>
      <c r="I18" s="176"/>
      <c r="J18" s="486"/>
    </row>
    <row r="19" spans="1:10" ht="33.75" customHeight="1" x14ac:dyDescent="0.2"/>
    <row r="20" spans="1:10" ht="21.75" customHeight="1" thickBot="1" x14ac:dyDescent="0.25">
      <c r="A20" s="1" t="s">
        <v>132</v>
      </c>
      <c r="I20" s="1"/>
    </row>
    <row r="21" spans="1:10" ht="32.25" customHeight="1" x14ac:dyDescent="0.2">
      <c r="A21" s="10"/>
      <c r="B21" s="687" t="str">
        <f>B4</f>
        <v>5年度実績</v>
      </c>
      <c r="C21" s="688" t="str">
        <f t="shared" ref="C21:J21" si="16">C4</f>
        <v>6年度実績</v>
      </c>
      <c r="D21" s="688" t="str">
        <f t="shared" si="16"/>
        <v>7年度実績</v>
      </c>
      <c r="E21" s="689" t="str">
        <f t="shared" si="16"/>
        <v>8年度実績</v>
      </c>
      <c r="F21" s="690" t="str">
        <f t="shared" si="16"/>
        <v>9年度見込</v>
      </c>
      <c r="G21" s="691" t="str">
        <f t="shared" si="16"/>
        <v>10年度見込</v>
      </c>
      <c r="H21" s="691" t="str">
        <f t="shared" si="16"/>
        <v>11年度見込</v>
      </c>
      <c r="I21" s="692" t="str">
        <f t="shared" si="16"/>
        <v>12年度見込</v>
      </c>
      <c r="J21" s="693" t="str">
        <f t="shared" si="16"/>
        <v>当初最終年度
12年度見込</v>
      </c>
    </row>
    <row r="22" spans="1:10" ht="27" customHeight="1" thickBot="1" x14ac:dyDescent="0.25">
      <c r="A22" s="111" t="s">
        <v>199</v>
      </c>
      <c r="B22" s="115"/>
      <c r="C22" s="116">
        <f t="shared" ref="C22:I22" si="17">B25</f>
        <v>0</v>
      </c>
      <c r="D22" s="117">
        <f t="shared" si="17"/>
        <v>0</v>
      </c>
      <c r="E22" s="140">
        <f t="shared" si="17"/>
        <v>0</v>
      </c>
      <c r="F22" s="166">
        <f t="shared" si="17"/>
        <v>0</v>
      </c>
      <c r="G22" s="113">
        <f t="shared" si="17"/>
        <v>0</v>
      </c>
      <c r="H22" s="20">
        <f t="shared" si="17"/>
        <v>0</v>
      </c>
      <c r="I22" s="183">
        <f t="shared" si="17"/>
        <v>0</v>
      </c>
      <c r="J22" s="185"/>
    </row>
    <row r="23" spans="1:10" ht="27" customHeight="1" x14ac:dyDescent="0.2">
      <c r="A23" s="65" t="s">
        <v>200</v>
      </c>
      <c r="B23" s="103"/>
      <c r="C23" s="118"/>
      <c r="D23" s="150"/>
      <c r="E23" s="174"/>
      <c r="F23" s="106"/>
      <c r="G23" s="106"/>
      <c r="H23" s="22"/>
      <c r="I23" s="144"/>
      <c r="J23" s="180"/>
    </row>
    <row r="24" spans="1:10" ht="27" customHeight="1" x14ac:dyDescent="0.2">
      <c r="A24" s="65" t="s">
        <v>514</v>
      </c>
      <c r="B24" s="103"/>
      <c r="C24" s="118"/>
      <c r="D24" s="150"/>
      <c r="E24" s="169"/>
      <c r="F24" s="106"/>
      <c r="G24" s="106"/>
      <c r="H24" s="22"/>
      <c r="I24" s="144"/>
      <c r="J24" s="180"/>
    </row>
    <row r="25" spans="1:10" ht="27" customHeight="1" thickBot="1" x14ac:dyDescent="0.25">
      <c r="A25" s="187" t="s">
        <v>218</v>
      </c>
      <c r="B25" s="188">
        <f t="shared" ref="B25:H25" si="18">B22+B23-B24</f>
        <v>0</v>
      </c>
      <c r="C25" s="189">
        <f t="shared" si="18"/>
        <v>0</v>
      </c>
      <c r="D25" s="190">
        <f t="shared" si="18"/>
        <v>0</v>
      </c>
      <c r="E25" s="207">
        <f t="shared" si="18"/>
        <v>0</v>
      </c>
      <c r="F25" s="191">
        <f t="shared" si="18"/>
        <v>0</v>
      </c>
      <c r="G25" s="191">
        <f t="shared" si="18"/>
        <v>0</v>
      </c>
      <c r="H25" s="192">
        <f t="shared" si="18"/>
        <v>0</v>
      </c>
      <c r="I25" s="193">
        <f>I22+I23-I24</f>
        <v>0</v>
      </c>
      <c r="J25" s="194">
        <f>J22+J23-J24</f>
        <v>0</v>
      </c>
    </row>
    <row r="26" spans="1:10" ht="27" customHeight="1" x14ac:dyDescent="0.2">
      <c r="A26" s="66" t="s">
        <v>217</v>
      </c>
      <c r="B26" s="107"/>
      <c r="C26" s="195"/>
      <c r="D26" s="196"/>
      <c r="E26" s="206"/>
      <c r="F26" s="110"/>
      <c r="G26" s="28"/>
      <c r="H26" s="28"/>
      <c r="I26" s="176"/>
      <c r="J26" s="181"/>
    </row>
    <row r="27" spans="1:10" ht="27" customHeight="1" thickBot="1" x14ac:dyDescent="0.25">
      <c r="A27" s="112" t="s">
        <v>219</v>
      </c>
      <c r="B27" s="99"/>
      <c r="C27" s="119">
        <f t="shared" ref="C27:I27" si="19">B30</f>
        <v>0</v>
      </c>
      <c r="D27" s="100">
        <f t="shared" si="19"/>
        <v>0</v>
      </c>
      <c r="E27" s="140">
        <f t="shared" si="19"/>
        <v>0</v>
      </c>
      <c r="F27" s="168">
        <f t="shared" si="19"/>
        <v>0</v>
      </c>
      <c r="G27" s="102">
        <f t="shared" si="19"/>
        <v>0</v>
      </c>
      <c r="H27" s="25">
        <f t="shared" si="19"/>
        <v>0</v>
      </c>
      <c r="I27" s="175">
        <f t="shared" si="19"/>
        <v>0</v>
      </c>
      <c r="J27" s="179"/>
    </row>
    <row r="28" spans="1:10" ht="27" customHeight="1" x14ac:dyDescent="0.2">
      <c r="A28" s="65" t="s">
        <v>220</v>
      </c>
      <c r="B28" s="103"/>
      <c r="C28" s="118"/>
      <c r="D28" s="150"/>
      <c r="E28" s="174"/>
      <c r="F28" s="106"/>
      <c r="G28" s="106"/>
      <c r="H28" s="22"/>
      <c r="I28" s="144"/>
      <c r="J28" s="180"/>
    </row>
    <row r="29" spans="1:10" ht="27" customHeight="1" x14ac:dyDescent="0.2">
      <c r="A29" s="65" t="s">
        <v>515</v>
      </c>
      <c r="B29" s="103"/>
      <c r="C29" s="118"/>
      <c r="D29" s="150"/>
      <c r="E29" s="169"/>
      <c r="F29" s="106"/>
      <c r="G29" s="106"/>
      <c r="H29" s="22"/>
      <c r="I29" s="144"/>
      <c r="J29" s="180"/>
    </row>
    <row r="30" spans="1:10" ht="27" customHeight="1" thickBot="1" x14ac:dyDescent="0.25">
      <c r="A30" s="77" t="s">
        <v>221</v>
      </c>
      <c r="B30" s="156">
        <f t="shared" ref="B30:I30" si="20">B27+B28-B29</f>
        <v>0</v>
      </c>
      <c r="C30" s="157">
        <f t="shared" si="20"/>
        <v>0</v>
      </c>
      <c r="D30" s="151">
        <f t="shared" si="20"/>
        <v>0</v>
      </c>
      <c r="E30" s="208">
        <f t="shared" si="20"/>
        <v>0</v>
      </c>
      <c r="F30" s="159">
        <f t="shared" si="20"/>
        <v>0</v>
      </c>
      <c r="G30" s="159">
        <f t="shared" si="20"/>
        <v>0</v>
      </c>
      <c r="H30" s="160">
        <f t="shared" si="20"/>
        <v>0</v>
      </c>
      <c r="I30" s="184">
        <f t="shared" si="20"/>
        <v>0</v>
      </c>
      <c r="J30" s="186">
        <f>J27+J28-J29</f>
        <v>0</v>
      </c>
    </row>
    <row r="31" spans="1:10" ht="26.25" customHeight="1" thickBot="1" x14ac:dyDescent="0.25">
      <c r="A31" s="77" t="s">
        <v>211</v>
      </c>
      <c r="B31" s="156"/>
      <c r="C31" s="157"/>
      <c r="D31" s="158"/>
      <c r="E31" s="190"/>
      <c r="F31" s="173"/>
      <c r="G31" s="110"/>
      <c r="H31" s="28"/>
      <c r="I31" s="176"/>
      <c r="J31" s="181"/>
    </row>
    <row r="32" spans="1:10" ht="27" customHeight="1" x14ac:dyDescent="0.2">
      <c r="A32" s="112" t="s">
        <v>173</v>
      </c>
      <c r="B32" s="115"/>
      <c r="C32" s="117"/>
      <c r="D32" s="140"/>
      <c r="E32" s="174"/>
      <c r="F32" s="102"/>
      <c r="G32" s="20"/>
      <c r="H32" s="20"/>
      <c r="I32" s="183"/>
      <c r="J32" s="185"/>
    </row>
    <row r="33" spans="1:10" ht="27" customHeight="1" x14ac:dyDescent="0.2">
      <c r="A33" s="65" t="s">
        <v>174</v>
      </c>
      <c r="B33" s="156"/>
      <c r="C33" s="158"/>
      <c r="D33" s="151"/>
      <c r="E33" s="173"/>
      <c r="F33" s="159"/>
      <c r="G33" s="160"/>
      <c r="H33" s="160"/>
      <c r="I33" s="184"/>
      <c r="J33" s="186"/>
    </row>
    <row r="34" spans="1:10" ht="27" customHeight="1" x14ac:dyDescent="0.2">
      <c r="A34" s="65" t="s">
        <v>212</v>
      </c>
      <c r="B34" s="103"/>
      <c r="C34" s="104"/>
      <c r="D34" s="150"/>
      <c r="E34" s="169"/>
      <c r="F34" s="106"/>
      <c r="G34" s="22"/>
      <c r="H34" s="22"/>
      <c r="I34" s="144"/>
      <c r="J34" s="180"/>
    </row>
    <row r="35" spans="1:10" ht="27" customHeight="1" thickBot="1" x14ac:dyDescent="0.25">
      <c r="A35" s="66" t="s">
        <v>213</v>
      </c>
      <c r="B35" s="483"/>
      <c r="C35" s="484"/>
      <c r="D35" s="485"/>
      <c r="E35" s="161"/>
      <c r="F35" s="110"/>
      <c r="G35" s="28"/>
      <c r="H35" s="28"/>
      <c r="I35" s="176"/>
      <c r="J35" s="486"/>
    </row>
    <row r="36" spans="1:10" ht="40.5" customHeight="1" x14ac:dyDescent="0.2"/>
    <row r="37" spans="1:10" ht="21.75" customHeight="1" thickBot="1" x14ac:dyDescent="0.25">
      <c r="A37" s="1" t="s">
        <v>133</v>
      </c>
      <c r="I37" s="1"/>
    </row>
    <row r="38" spans="1:10" ht="32.25" customHeight="1" x14ac:dyDescent="0.2">
      <c r="A38" s="10"/>
      <c r="B38" s="687" t="str">
        <f>B21</f>
        <v>5年度実績</v>
      </c>
      <c r="C38" s="688" t="str">
        <f t="shared" ref="C38:J38" si="21">C21</f>
        <v>6年度実績</v>
      </c>
      <c r="D38" s="688" t="str">
        <f t="shared" si="21"/>
        <v>7年度実績</v>
      </c>
      <c r="E38" s="689" t="str">
        <f t="shared" si="21"/>
        <v>8年度実績</v>
      </c>
      <c r="F38" s="690" t="str">
        <f t="shared" si="21"/>
        <v>9年度見込</v>
      </c>
      <c r="G38" s="691" t="str">
        <f t="shared" si="21"/>
        <v>10年度見込</v>
      </c>
      <c r="H38" s="691" t="str">
        <f t="shared" si="21"/>
        <v>11年度見込</v>
      </c>
      <c r="I38" s="692" t="str">
        <f t="shared" si="21"/>
        <v>12年度見込</v>
      </c>
      <c r="J38" s="693" t="str">
        <f t="shared" si="21"/>
        <v>当初最終年度
12年度見込</v>
      </c>
    </row>
    <row r="39" spans="1:10" ht="27" customHeight="1" thickBot="1" x14ac:dyDescent="0.25">
      <c r="A39" s="111" t="s">
        <v>199</v>
      </c>
      <c r="B39" s="115"/>
      <c r="C39" s="116">
        <f t="shared" ref="C39:I39" si="22">B42</f>
        <v>0</v>
      </c>
      <c r="D39" s="117">
        <f t="shared" si="22"/>
        <v>0</v>
      </c>
      <c r="E39" s="140">
        <f t="shared" si="22"/>
        <v>0</v>
      </c>
      <c r="F39" s="166">
        <f t="shared" si="22"/>
        <v>0</v>
      </c>
      <c r="G39" s="113">
        <f t="shared" si="22"/>
        <v>0</v>
      </c>
      <c r="H39" s="20">
        <f t="shared" si="22"/>
        <v>0</v>
      </c>
      <c r="I39" s="183">
        <f t="shared" si="22"/>
        <v>0</v>
      </c>
      <c r="J39" s="185"/>
    </row>
    <row r="40" spans="1:10" ht="27" customHeight="1" x14ac:dyDescent="0.2">
      <c r="A40" s="65" t="s">
        <v>200</v>
      </c>
      <c r="B40" s="103"/>
      <c r="C40" s="118"/>
      <c r="D40" s="150"/>
      <c r="E40" s="174"/>
      <c r="F40" s="106"/>
      <c r="G40" s="106"/>
      <c r="H40" s="22"/>
      <c r="I40" s="144"/>
      <c r="J40" s="180"/>
    </row>
    <row r="41" spans="1:10" ht="27" customHeight="1" x14ac:dyDescent="0.2">
      <c r="A41" s="65" t="s">
        <v>516</v>
      </c>
      <c r="B41" s="103"/>
      <c r="C41" s="118"/>
      <c r="D41" s="150"/>
      <c r="E41" s="169"/>
      <c r="F41" s="106"/>
      <c r="G41" s="106"/>
      <c r="H41" s="22"/>
      <c r="I41" s="144"/>
      <c r="J41" s="180"/>
    </row>
    <row r="42" spans="1:10" ht="27" customHeight="1" thickBot="1" x14ac:dyDescent="0.25">
      <c r="A42" s="187" t="s">
        <v>218</v>
      </c>
      <c r="B42" s="188">
        <f t="shared" ref="B42:I42" si="23">B39+B40-B41</f>
        <v>0</v>
      </c>
      <c r="C42" s="189">
        <f t="shared" si="23"/>
        <v>0</v>
      </c>
      <c r="D42" s="190">
        <f t="shared" si="23"/>
        <v>0</v>
      </c>
      <c r="E42" s="207">
        <f t="shared" si="23"/>
        <v>0</v>
      </c>
      <c r="F42" s="191">
        <f t="shared" si="23"/>
        <v>0</v>
      </c>
      <c r="G42" s="191">
        <f t="shared" si="23"/>
        <v>0</v>
      </c>
      <c r="H42" s="192">
        <f t="shared" si="23"/>
        <v>0</v>
      </c>
      <c r="I42" s="193">
        <f t="shared" si="23"/>
        <v>0</v>
      </c>
      <c r="J42" s="194">
        <f>J39+J40-J41</f>
        <v>0</v>
      </c>
    </row>
    <row r="43" spans="1:10" ht="27" customHeight="1" x14ac:dyDescent="0.2">
      <c r="A43" s="66" t="s">
        <v>217</v>
      </c>
      <c r="B43" s="107"/>
      <c r="C43" s="195"/>
      <c r="D43" s="196"/>
      <c r="E43" s="206"/>
      <c r="F43" s="110"/>
      <c r="G43" s="28"/>
      <c r="H43" s="28"/>
      <c r="I43" s="176"/>
      <c r="J43" s="181"/>
    </row>
    <row r="44" spans="1:10" ht="27" customHeight="1" thickBot="1" x14ac:dyDescent="0.25">
      <c r="A44" s="112" t="s">
        <v>219</v>
      </c>
      <c r="B44" s="99"/>
      <c r="C44" s="119">
        <f t="shared" ref="C44:I44" si="24">B47</f>
        <v>0</v>
      </c>
      <c r="D44" s="100">
        <f t="shared" si="24"/>
        <v>0</v>
      </c>
      <c r="E44" s="140">
        <f t="shared" si="24"/>
        <v>0</v>
      </c>
      <c r="F44" s="168">
        <f t="shared" si="24"/>
        <v>0</v>
      </c>
      <c r="G44" s="102">
        <f t="shared" si="24"/>
        <v>0</v>
      </c>
      <c r="H44" s="25">
        <f t="shared" si="24"/>
        <v>0</v>
      </c>
      <c r="I44" s="175">
        <f t="shared" si="24"/>
        <v>0</v>
      </c>
      <c r="J44" s="179"/>
    </row>
    <row r="45" spans="1:10" ht="27" customHeight="1" x14ac:dyDescent="0.2">
      <c r="A45" s="65" t="s">
        <v>220</v>
      </c>
      <c r="B45" s="103"/>
      <c r="C45" s="118"/>
      <c r="D45" s="150"/>
      <c r="E45" s="174"/>
      <c r="F45" s="106"/>
      <c r="G45" s="106"/>
      <c r="H45" s="22"/>
      <c r="I45" s="144"/>
      <c r="J45" s="180"/>
    </row>
    <row r="46" spans="1:10" ht="27" customHeight="1" x14ac:dyDescent="0.2">
      <c r="A46" s="65" t="s">
        <v>515</v>
      </c>
      <c r="B46" s="103"/>
      <c r="C46" s="118"/>
      <c r="D46" s="150"/>
      <c r="E46" s="169"/>
      <c r="F46" s="106"/>
      <c r="G46" s="106"/>
      <c r="H46" s="22"/>
      <c r="I46" s="144"/>
      <c r="J46" s="180"/>
    </row>
    <row r="47" spans="1:10" ht="27" customHeight="1" thickBot="1" x14ac:dyDescent="0.25">
      <c r="A47" s="77" t="s">
        <v>221</v>
      </c>
      <c r="B47" s="156">
        <f t="shared" ref="B47:J47" si="25">B44+B45-B46</f>
        <v>0</v>
      </c>
      <c r="C47" s="157">
        <f t="shared" si="25"/>
        <v>0</v>
      </c>
      <c r="D47" s="151">
        <f t="shared" si="25"/>
        <v>0</v>
      </c>
      <c r="E47" s="208">
        <f t="shared" si="25"/>
        <v>0</v>
      </c>
      <c r="F47" s="159">
        <f t="shared" si="25"/>
        <v>0</v>
      </c>
      <c r="G47" s="159">
        <f t="shared" si="25"/>
        <v>0</v>
      </c>
      <c r="H47" s="160">
        <f t="shared" si="25"/>
        <v>0</v>
      </c>
      <c r="I47" s="184">
        <f t="shared" si="25"/>
        <v>0</v>
      </c>
      <c r="J47" s="186">
        <f t="shared" si="25"/>
        <v>0</v>
      </c>
    </row>
    <row r="48" spans="1:10" ht="26.25" customHeight="1" thickBot="1" x14ac:dyDescent="0.25">
      <c r="A48" s="77" t="s">
        <v>211</v>
      </c>
      <c r="B48" s="156"/>
      <c r="C48" s="157"/>
      <c r="D48" s="158"/>
      <c r="E48" s="190"/>
      <c r="F48" s="173"/>
      <c r="G48" s="110"/>
      <c r="H48" s="28"/>
      <c r="I48" s="176"/>
      <c r="J48" s="181"/>
    </row>
    <row r="49" spans="1:10" ht="27" customHeight="1" x14ac:dyDescent="0.2">
      <c r="A49" s="112" t="s">
        <v>173</v>
      </c>
      <c r="B49" s="115"/>
      <c r="C49" s="117"/>
      <c r="D49" s="140"/>
      <c r="E49" s="174"/>
      <c r="F49" s="102"/>
      <c r="G49" s="20"/>
      <c r="H49" s="20"/>
      <c r="I49" s="183"/>
      <c r="J49" s="185"/>
    </row>
    <row r="50" spans="1:10" ht="27" customHeight="1" x14ac:dyDescent="0.2">
      <c r="A50" s="65" t="s">
        <v>174</v>
      </c>
      <c r="B50" s="156"/>
      <c r="C50" s="158"/>
      <c r="D50" s="151"/>
      <c r="E50" s="173"/>
      <c r="F50" s="159"/>
      <c r="G50" s="160"/>
      <c r="H50" s="160"/>
      <c r="I50" s="184"/>
      <c r="J50" s="186"/>
    </row>
    <row r="51" spans="1:10" ht="27" customHeight="1" x14ac:dyDescent="0.2">
      <c r="A51" s="65" t="s">
        <v>212</v>
      </c>
      <c r="B51" s="103"/>
      <c r="C51" s="104"/>
      <c r="D51" s="150"/>
      <c r="E51" s="169"/>
      <c r="F51" s="106"/>
      <c r="G51" s="22"/>
      <c r="H51" s="22"/>
      <c r="I51" s="144"/>
      <c r="J51" s="180"/>
    </row>
    <row r="52" spans="1:10" ht="27" customHeight="1" thickBot="1" x14ac:dyDescent="0.25">
      <c r="A52" s="66" t="s">
        <v>213</v>
      </c>
      <c r="B52" s="483"/>
      <c r="C52" s="484"/>
      <c r="D52" s="485"/>
      <c r="E52" s="161"/>
      <c r="F52" s="110"/>
      <c r="G52" s="28"/>
      <c r="H52" s="28"/>
      <c r="I52" s="176"/>
      <c r="J52" s="486"/>
    </row>
  </sheetData>
  <phoneticPr fontId="2"/>
  <conditionalFormatting sqref="B21:J21 B4:J4 B38:J38">
    <cfRule type="cellIs" dxfId="816" priority="1" stopIfTrue="1" operator="between">
      <formula>"実績"</formula>
      <formula>"実績"</formula>
    </cfRule>
    <cfRule type="cellIs" dxfId="815" priority="2" stopIfTrue="1" operator="between">
      <formula>"見込"</formula>
      <formula>"見込"</formula>
    </cfRule>
  </conditionalFormatting>
  <pageMargins left="0.78740157480314965" right="0.78740157480314965" top="0.74803149606299213" bottom="0.51181102362204722" header="0.51181102362204722" footer="0.31496062992125984"/>
  <pageSetup paperSize="9" scale="57" orientation="portrait" r:id="rId1"/>
  <headerFooter alignWithMargins="0">
    <oddHeader xml:space="preserve">&amp;R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73"/>
  <sheetViews>
    <sheetView zoomScale="85" zoomScaleNormal="85" workbookViewId="0">
      <pane xSplit="5" ySplit="3" topLeftCell="F4" activePane="bottomRight" state="frozen"/>
      <selection activeCell="H18" sqref="H18"/>
      <selection pane="topRight" activeCell="H18" sqref="H18"/>
      <selection pane="bottomLeft" activeCell="H18" sqref="H18"/>
      <selection pane="bottomRight"/>
    </sheetView>
  </sheetViews>
  <sheetFormatPr defaultColWidth="9" defaultRowHeight="11.4" customHeight="1" x14ac:dyDescent="0.2"/>
  <cols>
    <col min="1" max="1" width="5" style="31" customWidth="1"/>
    <col min="2" max="2" width="1.77734375" style="31" customWidth="1"/>
    <col min="3" max="3" width="5.6640625" style="31" customWidth="1"/>
    <col min="4" max="4" width="26.88671875" style="31" customWidth="1"/>
    <col min="5" max="5" width="12.6640625" style="31" customWidth="1"/>
    <col min="6" max="7" width="12" style="164" customWidth="1"/>
    <col min="8" max="12" width="13.33203125" style="31" customWidth="1"/>
    <col min="13" max="13" width="12.21875" style="31" customWidth="1"/>
    <col min="14" max="14" width="13.33203125" style="31" customWidth="1"/>
    <col min="15" max="16384" width="9" style="31"/>
  </cols>
  <sheetData>
    <row r="1" spans="1:14" s="55" customFormat="1" ht="60" customHeight="1" x14ac:dyDescent="0.2">
      <c r="A1" s="7" t="s">
        <v>156</v>
      </c>
      <c r="B1" s="53"/>
      <c r="C1" s="53"/>
      <c r="D1" s="53"/>
      <c r="E1" s="7" t="str">
        <f>CONCATENATE("（","法人番号：",入力!B2,"　　","法人名：",入力!B5,"）")</f>
        <v>（法人番号：131999　　法人名：東西大学）</v>
      </c>
      <c r="F1" s="164"/>
      <c r="G1" s="164"/>
      <c r="H1" s="54"/>
      <c r="I1" s="54"/>
      <c r="J1" s="54"/>
      <c r="K1" s="54"/>
      <c r="L1" s="141"/>
      <c r="M1" s="141"/>
      <c r="N1" s="141" t="s">
        <v>239</v>
      </c>
    </row>
    <row r="2" spans="1:14" s="55" customFormat="1" ht="26.25" customHeight="1" thickBot="1" x14ac:dyDescent="0.25">
      <c r="A2" s="7"/>
      <c r="B2" s="53"/>
      <c r="C2" s="53"/>
      <c r="D2" s="53"/>
      <c r="E2" s="7"/>
      <c r="F2" s="54"/>
      <c r="G2" s="54"/>
      <c r="H2" s="54"/>
      <c r="I2" s="54"/>
      <c r="J2" s="54"/>
      <c r="K2" s="54"/>
      <c r="L2" s="143"/>
      <c r="M2" s="143"/>
      <c r="N2" s="197" t="str">
        <f>入力!E18</f>
        <v>新規</v>
      </c>
    </row>
    <row r="3" spans="1:14" ht="36" customHeight="1" x14ac:dyDescent="0.2">
      <c r="A3" s="846" t="s">
        <v>106</v>
      </c>
      <c r="B3" s="867" t="s">
        <v>107</v>
      </c>
      <c r="C3" s="868"/>
      <c r="D3" s="869"/>
      <c r="E3" s="30" t="s">
        <v>101</v>
      </c>
      <c r="F3" s="670" t="str">
        <f>VLOOKUP(入力!$I$14-3,和暦表示!$B$10:$D$35,3,FALSE)</f>
        <v>5年度実績</v>
      </c>
      <c r="G3" s="671" t="str">
        <f>VLOOKUP(入力!$I$14-2,和暦表示!$B$10:$D$35,3,FALSE)</f>
        <v>6年度実績</v>
      </c>
      <c r="H3" s="672" t="str">
        <f>VLOOKUP(入力!$I$14-1,和暦表示!$B$10:$D$35,3,FALSE)</f>
        <v>7年度実績</v>
      </c>
      <c r="I3" s="673" t="str">
        <f>VLOOKUP(入力!$I$14,和暦表示!$B$10:$D$35,3,FALSE)</f>
        <v>8年度見込</v>
      </c>
      <c r="J3" s="674" t="str">
        <f>VLOOKUP(入力!$I$14+1,和暦表示!$B$10:$D$35,3,FALSE)</f>
        <v>9年度見込</v>
      </c>
      <c r="K3" s="674" t="str">
        <f>VLOOKUP(入力!$I$14+2,和暦表示!$B$10:$D$35,3,FALSE)</f>
        <v>10年度見込</v>
      </c>
      <c r="L3" s="675" t="str">
        <f>VLOOKUP(入力!$I$14+3,和暦表示!$B$10:$D$35,3,FALSE)</f>
        <v>11年度見込</v>
      </c>
      <c r="M3" s="675" t="str">
        <f>VLOOKUP(入力!$I$14+4,和暦表示!$B$10:$D$35,3,FALSE)</f>
        <v>12年度見込</v>
      </c>
      <c r="N3" s="177" t="str">
        <f>"当初最終年度
"&amp;VLOOKUP(入力!$I$8+4,和暦表示!$B$10:$D$35,3,FALSE)</f>
        <v>当初最終年度
12年度見込</v>
      </c>
    </row>
    <row r="4" spans="1:14" ht="20.100000000000001" customHeight="1" x14ac:dyDescent="0.2">
      <c r="A4" s="847"/>
      <c r="B4" s="849"/>
      <c r="C4" s="850"/>
      <c r="D4" s="851"/>
      <c r="E4" s="32" t="s">
        <v>146</v>
      </c>
      <c r="F4" s="487"/>
      <c r="G4" s="488"/>
      <c r="H4" s="489"/>
      <c r="I4" s="490"/>
      <c r="J4" s="491"/>
      <c r="K4" s="491"/>
      <c r="L4" s="492"/>
      <c r="M4" s="492"/>
      <c r="N4" s="493"/>
    </row>
    <row r="5" spans="1:14" ht="20.100000000000001" customHeight="1" x14ac:dyDescent="0.2">
      <c r="A5" s="847"/>
      <c r="B5" s="852"/>
      <c r="C5" s="853"/>
      <c r="D5" s="854"/>
      <c r="E5" s="33" t="s">
        <v>147</v>
      </c>
      <c r="F5" s="494"/>
      <c r="G5" s="495"/>
      <c r="H5" s="496"/>
      <c r="I5" s="497"/>
      <c r="J5" s="498"/>
      <c r="K5" s="498"/>
      <c r="L5" s="499"/>
      <c r="M5" s="499"/>
      <c r="N5" s="500"/>
    </row>
    <row r="6" spans="1:14" s="164" customFormat="1" ht="20.100000000000001" customHeight="1" x14ac:dyDescent="0.2">
      <c r="A6" s="847"/>
      <c r="B6" s="852"/>
      <c r="C6" s="853"/>
      <c r="D6" s="854"/>
      <c r="E6" s="662" t="s">
        <v>517</v>
      </c>
      <c r="F6" s="494"/>
      <c r="G6" s="495"/>
      <c r="H6" s="659"/>
      <c r="I6" s="548"/>
      <c r="J6" s="495"/>
      <c r="K6" s="495"/>
      <c r="L6" s="549"/>
      <c r="M6" s="549"/>
      <c r="N6" s="660"/>
    </row>
    <row r="7" spans="1:14" ht="20.100000000000001" customHeight="1" x14ac:dyDescent="0.2">
      <c r="A7" s="847"/>
      <c r="B7" s="852"/>
      <c r="C7" s="853"/>
      <c r="D7" s="854"/>
      <c r="E7" s="34" t="s">
        <v>102</v>
      </c>
      <c r="F7" s="501"/>
      <c r="G7" s="502"/>
      <c r="H7" s="503"/>
      <c r="I7" s="504">
        <f>H7+I4-I5-I6</f>
        <v>0</v>
      </c>
      <c r="J7" s="502">
        <f t="shared" ref="J7:M7" si="0">I7+J4-J5-J6</f>
        <v>0</v>
      </c>
      <c r="K7" s="503">
        <f t="shared" si="0"/>
        <v>0</v>
      </c>
      <c r="L7" s="505">
        <f t="shared" si="0"/>
        <v>0</v>
      </c>
      <c r="M7" s="505">
        <f t="shared" si="0"/>
        <v>0</v>
      </c>
      <c r="N7" s="506"/>
    </row>
    <row r="8" spans="1:14" ht="20.100000000000001" customHeight="1" x14ac:dyDescent="0.2">
      <c r="A8" s="847"/>
      <c r="B8" s="855"/>
      <c r="C8" s="856"/>
      <c r="D8" s="857"/>
      <c r="E8" s="35" t="s">
        <v>108</v>
      </c>
      <c r="F8" s="507"/>
      <c r="G8" s="508"/>
      <c r="H8" s="509"/>
      <c r="I8" s="510"/>
      <c r="J8" s="511"/>
      <c r="K8" s="511"/>
      <c r="L8" s="512"/>
      <c r="M8" s="512"/>
      <c r="N8" s="513"/>
    </row>
    <row r="9" spans="1:14" ht="20.100000000000001" customHeight="1" x14ac:dyDescent="0.2">
      <c r="A9" s="847"/>
      <c r="B9" s="849"/>
      <c r="C9" s="850"/>
      <c r="D9" s="851"/>
      <c r="E9" s="32" t="s">
        <v>103</v>
      </c>
      <c r="F9" s="487"/>
      <c r="G9" s="488"/>
      <c r="H9" s="489"/>
      <c r="I9" s="490"/>
      <c r="J9" s="491"/>
      <c r="K9" s="491"/>
      <c r="L9" s="492"/>
      <c r="M9" s="492"/>
      <c r="N9" s="493"/>
    </row>
    <row r="10" spans="1:14" ht="20.100000000000001" customHeight="1" x14ac:dyDescent="0.2">
      <c r="A10" s="847"/>
      <c r="B10" s="852"/>
      <c r="C10" s="853"/>
      <c r="D10" s="854"/>
      <c r="E10" s="33" t="s">
        <v>104</v>
      </c>
      <c r="F10" s="494"/>
      <c r="G10" s="495"/>
      <c r="H10" s="496"/>
      <c r="I10" s="497"/>
      <c r="J10" s="498"/>
      <c r="K10" s="498"/>
      <c r="L10" s="499"/>
      <c r="M10" s="499"/>
      <c r="N10" s="500"/>
    </row>
    <row r="11" spans="1:14" s="164" customFormat="1" ht="20.100000000000001" customHeight="1" x14ac:dyDescent="0.2">
      <c r="A11" s="847"/>
      <c r="B11" s="852"/>
      <c r="C11" s="853"/>
      <c r="D11" s="854"/>
      <c r="E11" s="662" t="s">
        <v>517</v>
      </c>
      <c r="F11" s="494"/>
      <c r="G11" s="495"/>
      <c r="H11" s="659"/>
      <c r="I11" s="548"/>
      <c r="J11" s="495"/>
      <c r="K11" s="495"/>
      <c r="L11" s="549"/>
      <c r="M11" s="549"/>
      <c r="N11" s="660"/>
    </row>
    <row r="12" spans="1:14" ht="20.100000000000001" customHeight="1" x14ac:dyDescent="0.2">
      <c r="A12" s="847"/>
      <c r="B12" s="852"/>
      <c r="C12" s="853"/>
      <c r="D12" s="854"/>
      <c r="E12" s="34" t="s">
        <v>102</v>
      </c>
      <c r="F12" s="501"/>
      <c r="G12" s="514"/>
      <c r="H12" s="515"/>
      <c r="I12" s="504">
        <f t="shared" ref="I12:M12" si="1">H12+I9-I10-I11</f>
        <v>0</v>
      </c>
      <c r="J12" s="503">
        <f t="shared" si="1"/>
        <v>0</v>
      </c>
      <c r="K12" s="503">
        <f t="shared" si="1"/>
        <v>0</v>
      </c>
      <c r="L12" s="505">
        <f t="shared" si="1"/>
        <v>0</v>
      </c>
      <c r="M12" s="505">
        <f t="shared" si="1"/>
        <v>0</v>
      </c>
      <c r="N12" s="506"/>
    </row>
    <row r="13" spans="1:14" ht="20.100000000000001" customHeight="1" x14ac:dyDescent="0.2">
      <c r="A13" s="847"/>
      <c r="B13" s="855"/>
      <c r="C13" s="856"/>
      <c r="D13" s="857"/>
      <c r="E13" s="35" t="s">
        <v>105</v>
      </c>
      <c r="F13" s="507"/>
      <c r="G13" s="508"/>
      <c r="H13" s="509"/>
      <c r="I13" s="510"/>
      <c r="J13" s="511"/>
      <c r="K13" s="511"/>
      <c r="L13" s="512"/>
      <c r="M13" s="512"/>
      <c r="N13" s="513"/>
    </row>
    <row r="14" spans="1:14" ht="20.100000000000001" customHeight="1" x14ac:dyDescent="0.2">
      <c r="A14" s="847"/>
      <c r="B14" s="849"/>
      <c r="C14" s="850"/>
      <c r="D14" s="851"/>
      <c r="E14" s="32" t="s">
        <v>103</v>
      </c>
      <c r="F14" s="487"/>
      <c r="G14" s="488"/>
      <c r="H14" s="489"/>
      <c r="I14" s="490"/>
      <c r="J14" s="491"/>
      <c r="K14" s="491"/>
      <c r="L14" s="492"/>
      <c r="M14" s="492"/>
      <c r="N14" s="493"/>
    </row>
    <row r="15" spans="1:14" ht="20.100000000000001" customHeight="1" x14ac:dyDescent="0.2">
      <c r="A15" s="847"/>
      <c r="B15" s="852"/>
      <c r="C15" s="853"/>
      <c r="D15" s="854"/>
      <c r="E15" s="33" t="s">
        <v>104</v>
      </c>
      <c r="F15" s="494"/>
      <c r="G15" s="495"/>
      <c r="H15" s="496"/>
      <c r="I15" s="497"/>
      <c r="J15" s="498"/>
      <c r="K15" s="498"/>
      <c r="L15" s="499"/>
      <c r="M15" s="499"/>
      <c r="N15" s="500"/>
    </row>
    <row r="16" spans="1:14" s="164" customFormat="1" ht="20.100000000000001" customHeight="1" x14ac:dyDescent="0.2">
      <c r="A16" s="847"/>
      <c r="B16" s="852"/>
      <c r="C16" s="853"/>
      <c r="D16" s="854"/>
      <c r="E16" s="662" t="s">
        <v>517</v>
      </c>
      <c r="F16" s="494"/>
      <c r="G16" s="495"/>
      <c r="H16" s="659"/>
      <c r="I16" s="548"/>
      <c r="J16" s="495"/>
      <c r="K16" s="495"/>
      <c r="L16" s="549"/>
      <c r="M16" s="549"/>
      <c r="N16" s="660"/>
    </row>
    <row r="17" spans="1:14" ht="20.100000000000001" customHeight="1" x14ac:dyDescent="0.2">
      <c r="A17" s="847"/>
      <c r="B17" s="852"/>
      <c r="C17" s="853"/>
      <c r="D17" s="854"/>
      <c r="E17" s="34" t="s">
        <v>102</v>
      </c>
      <c r="F17" s="501"/>
      <c r="G17" s="514"/>
      <c r="H17" s="515"/>
      <c r="I17" s="504">
        <f t="shared" ref="I17" si="2">H17+I14-I15-I16</f>
        <v>0</v>
      </c>
      <c r="J17" s="503">
        <f t="shared" ref="J17" si="3">I17+J14-J15-J16</f>
        <v>0</v>
      </c>
      <c r="K17" s="503">
        <f t="shared" ref="K17" si="4">J17+K14-K15-K16</f>
        <v>0</v>
      </c>
      <c r="L17" s="505">
        <f t="shared" ref="L17" si="5">K17+L14-L15-L16</f>
        <v>0</v>
      </c>
      <c r="M17" s="505">
        <f t="shared" ref="M17" si="6">L17+M14-M15-M16</f>
        <v>0</v>
      </c>
      <c r="N17" s="506"/>
    </row>
    <row r="18" spans="1:14" ht="20.100000000000001" customHeight="1" x14ac:dyDescent="0.2">
      <c r="A18" s="847"/>
      <c r="B18" s="855"/>
      <c r="C18" s="856"/>
      <c r="D18" s="857"/>
      <c r="E18" s="35" t="s">
        <v>105</v>
      </c>
      <c r="F18" s="507"/>
      <c r="G18" s="508"/>
      <c r="H18" s="509"/>
      <c r="I18" s="510"/>
      <c r="J18" s="511"/>
      <c r="K18" s="511"/>
      <c r="L18" s="512"/>
      <c r="M18" s="512"/>
      <c r="N18" s="513"/>
    </row>
    <row r="19" spans="1:14" ht="20.100000000000001" customHeight="1" x14ac:dyDescent="0.2">
      <c r="A19" s="847"/>
      <c r="B19" s="849"/>
      <c r="C19" s="850"/>
      <c r="D19" s="851"/>
      <c r="E19" s="32" t="s">
        <v>148</v>
      </c>
      <c r="F19" s="487"/>
      <c r="G19" s="488"/>
      <c r="H19" s="489"/>
      <c r="I19" s="490"/>
      <c r="J19" s="491"/>
      <c r="K19" s="491"/>
      <c r="L19" s="492"/>
      <c r="M19" s="492"/>
      <c r="N19" s="493"/>
    </row>
    <row r="20" spans="1:14" ht="20.100000000000001" customHeight="1" x14ac:dyDescent="0.2">
      <c r="A20" s="847"/>
      <c r="B20" s="852"/>
      <c r="C20" s="853"/>
      <c r="D20" s="854"/>
      <c r="E20" s="33" t="s">
        <v>149</v>
      </c>
      <c r="F20" s="494"/>
      <c r="G20" s="495"/>
      <c r="H20" s="496"/>
      <c r="I20" s="497"/>
      <c r="J20" s="498"/>
      <c r="K20" s="498"/>
      <c r="L20" s="499"/>
      <c r="M20" s="499"/>
      <c r="N20" s="500"/>
    </row>
    <row r="21" spans="1:14" s="164" customFormat="1" ht="20.100000000000001" customHeight="1" x14ac:dyDescent="0.2">
      <c r="A21" s="847"/>
      <c r="B21" s="852"/>
      <c r="C21" s="853"/>
      <c r="D21" s="854"/>
      <c r="E21" s="662" t="s">
        <v>517</v>
      </c>
      <c r="F21" s="494"/>
      <c r="G21" s="495"/>
      <c r="H21" s="659"/>
      <c r="I21" s="548"/>
      <c r="J21" s="495"/>
      <c r="K21" s="495"/>
      <c r="L21" s="549"/>
      <c r="M21" s="549"/>
      <c r="N21" s="660"/>
    </row>
    <row r="22" spans="1:14" ht="20.100000000000001" customHeight="1" x14ac:dyDescent="0.2">
      <c r="A22" s="847"/>
      <c r="B22" s="852"/>
      <c r="C22" s="853"/>
      <c r="D22" s="854"/>
      <c r="E22" s="34" t="s">
        <v>102</v>
      </c>
      <c r="F22" s="501"/>
      <c r="G22" s="514"/>
      <c r="H22" s="515"/>
      <c r="I22" s="504">
        <f t="shared" ref="I22" si="7">H22+I19-I20-I21</f>
        <v>0</v>
      </c>
      <c r="J22" s="502">
        <f t="shared" ref="J22" si="8">I22+J19-J20-J21</f>
        <v>0</v>
      </c>
      <c r="K22" s="503">
        <f t="shared" ref="K22" si="9">J22+K19-K20-K21</f>
        <v>0</v>
      </c>
      <c r="L22" s="505">
        <f t="shared" ref="L22" si="10">K22+L19-L20-L21</f>
        <v>0</v>
      </c>
      <c r="M22" s="505">
        <f t="shared" ref="M22" si="11">L22+M19-M20-M21</f>
        <v>0</v>
      </c>
      <c r="N22" s="506"/>
    </row>
    <row r="23" spans="1:14" ht="20.100000000000001" customHeight="1" x14ac:dyDescent="0.2">
      <c r="A23" s="847"/>
      <c r="B23" s="855"/>
      <c r="C23" s="856"/>
      <c r="D23" s="857"/>
      <c r="E23" s="35" t="s">
        <v>108</v>
      </c>
      <c r="F23" s="507"/>
      <c r="G23" s="508"/>
      <c r="H23" s="509"/>
      <c r="I23" s="510"/>
      <c r="J23" s="511"/>
      <c r="K23" s="511"/>
      <c r="L23" s="512"/>
      <c r="M23" s="512"/>
      <c r="N23" s="513"/>
    </row>
    <row r="24" spans="1:14" ht="20.100000000000001" customHeight="1" x14ac:dyDescent="0.2">
      <c r="A24" s="847"/>
      <c r="B24" s="849"/>
      <c r="C24" s="850"/>
      <c r="D24" s="851"/>
      <c r="E24" s="32" t="s">
        <v>103</v>
      </c>
      <c r="F24" s="487"/>
      <c r="G24" s="488"/>
      <c r="H24" s="489"/>
      <c r="I24" s="490"/>
      <c r="J24" s="491"/>
      <c r="K24" s="491"/>
      <c r="L24" s="492"/>
      <c r="M24" s="492"/>
      <c r="N24" s="493"/>
    </row>
    <row r="25" spans="1:14" ht="20.100000000000001" customHeight="1" x14ac:dyDescent="0.2">
      <c r="A25" s="847"/>
      <c r="B25" s="852"/>
      <c r="C25" s="853"/>
      <c r="D25" s="854"/>
      <c r="E25" s="33" t="s">
        <v>104</v>
      </c>
      <c r="F25" s="494"/>
      <c r="G25" s="495"/>
      <c r="H25" s="496"/>
      <c r="I25" s="497"/>
      <c r="J25" s="498"/>
      <c r="K25" s="498"/>
      <c r="L25" s="499"/>
      <c r="M25" s="499"/>
      <c r="N25" s="500"/>
    </row>
    <row r="26" spans="1:14" s="164" customFormat="1" ht="20.100000000000001" customHeight="1" x14ac:dyDescent="0.2">
      <c r="A26" s="847"/>
      <c r="B26" s="852"/>
      <c r="C26" s="853"/>
      <c r="D26" s="854"/>
      <c r="E26" s="662" t="s">
        <v>517</v>
      </c>
      <c r="F26" s="494"/>
      <c r="G26" s="495"/>
      <c r="H26" s="659"/>
      <c r="I26" s="548"/>
      <c r="J26" s="495"/>
      <c r="K26" s="495"/>
      <c r="L26" s="549"/>
      <c r="M26" s="549"/>
      <c r="N26" s="660"/>
    </row>
    <row r="27" spans="1:14" ht="20.100000000000001" customHeight="1" x14ac:dyDescent="0.2">
      <c r="A27" s="847"/>
      <c r="B27" s="852"/>
      <c r="C27" s="853"/>
      <c r="D27" s="854"/>
      <c r="E27" s="34" t="s">
        <v>102</v>
      </c>
      <c r="F27" s="501"/>
      <c r="G27" s="514"/>
      <c r="H27" s="515"/>
      <c r="I27" s="504">
        <f t="shared" ref="I27" si="12">H27+I24-I25-I26</f>
        <v>0</v>
      </c>
      <c r="J27" s="503">
        <f t="shared" ref="J27" si="13">I27+J24-J25-J26</f>
        <v>0</v>
      </c>
      <c r="K27" s="503">
        <f t="shared" ref="K27" si="14">J27+K24-K25-K26</f>
        <v>0</v>
      </c>
      <c r="L27" s="505">
        <f t="shared" ref="L27" si="15">K27+L24-L25-L26</f>
        <v>0</v>
      </c>
      <c r="M27" s="505">
        <f t="shared" ref="M27" si="16">L27+M24-M25-M26</f>
        <v>0</v>
      </c>
      <c r="N27" s="506"/>
    </row>
    <row r="28" spans="1:14" ht="20.100000000000001" customHeight="1" x14ac:dyDescent="0.2">
      <c r="A28" s="847"/>
      <c r="B28" s="855"/>
      <c r="C28" s="856"/>
      <c r="D28" s="857"/>
      <c r="E28" s="35" t="s">
        <v>105</v>
      </c>
      <c r="F28" s="507"/>
      <c r="G28" s="508"/>
      <c r="H28" s="509"/>
      <c r="I28" s="510"/>
      <c r="J28" s="511"/>
      <c r="K28" s="511"/>
      <c r="L28" s="512"/>
      <c r="M28" s="512"/>
      <c r="N28" s="513"/>
    </row>
    <row r="29" spans="1:14" ht="20.100000000000001" customHeight="1" x14ac:dyDescent="0.2">
      <c r="A29" s="847"/>
      <c r="B29" s="849"/>
      <c r="C29" s="850"/>
      <c r="D29" s="851"/>
      <c r="E29" s="32" t="s">
        <v>103</v>
      </c>
      <c r="F29" s="487"/>
      <c r="G29" s="488"/>
      <c r="H29" s="489"/>
      <c r="I29" s="490"/>
      <c r="J29" s="491"/>
      <c r="K29" s="491"/>
      <c r="L29" s="492"/>
      <c r="M29" s="492"/>
      <c r="N29" s="493"/>
    </row>
    <row r="30" spans="1:14" ht="20.100000000000001" customHeight="1" x14ac:dyDescent="0.2">
      <c r="A30" s="847"/>
      <c r="B30" s="852"/>
      <c r="C30" s="853"/>
      <c r="D30" s="854"/>
      <c r="E30" s="33" t="s">
        <v>104</v>
      </c>
      <c r="F30" s="494"/>
      <c r="G30" s="495"/>
      <c r="H30" s="496"/>
      <c r="I30" s="497"/>
      <c r="J30" s="498"/>
      <c r="K30" s="498"/>
      <c r="L30" s="499"/>
      <c r="M30" s="499"/>
      <c r="N30" s="500"/>
    </row>
    <row r="31" spans="1:14" s="164" customFormat="1" ht="20.100000000000001" customHeight="1" x14ac:dyDescent="0.2">
      <c r="A31" s="847"/>
      <c r="B31" s="852"/>
      <c r="C31" s="853"/>
      <c r="D31" s="854"/>
      <c r="E31" s="662" t="s">
        <v>517</v>
      </c>
      <c r="F31" s="494"/>
      <c r="G31" s="495"/>
      <c r="H31" s="659"/>
      <c r="I31" s="548"/>
      <c r="J31" s="495"/>
      <c r="K31" s="495"/>
      <c r="L31" s="549"/>
      <c r="M31" s="549"/>
      <c r="N31" s="660"/>
    </row>
    <row r="32" spans="1:14" ht="20.100000000000001" customHeight="1" x14ac:dyDescent="0.2">
      <c r="A32" s="847"/>
      <c r="B32" s="852"/>
      <c r="C32" s="853"/>
      <c r="D32" s="854"/>
      <c r="E32" s="34" t="s">
        <v>102</v>
      </c>
      <c r="F32" s="501"/>
      <c r="G32" s="514"/>
      <c r="H32" s="515"/>
      <c r="I32" s="504">
        <f t="shared" ref="I32" si="17">H32+I29-I30-I31</f>
        <v>0</v>
      </c>
      <c r="J32" s="503">
        <f t="shared" ref="J32" si="18">I32+J29-J30-J31</f>
        <v>0</v>
      </c>
      <c r="K32" s="503">
        <f t="shared" ref="K32" si="19">J32+K29-K30-K31</f>
        <v>0</v>
      </c>
      <c r="L32" s="505">
        <f t="shared" ref="L32" si="20">K32+L29-L30-L31</f>
        <v>0</v>
      </c>
      <c r="M32" s="505">
        <f t="shared" ref="M32" si="21">L32+M29-M30-M31</f>
        <v>0</v>
      </c>
      <c r="N32" s="506"/>
    </row>
    <row r="33" spans="1:14" ht="20.100000000000001" customHeight="1" x14ac:dyDescent="0.2">
      <c r="A33" s="847"/>
      <c r="B33" s="855"/>
      <c r="C33" s="856"/>
      <c r="D33" s="857"/>
      <c r="E33" s="35" t="s">
        <v>105</v>
      </c>
      <c r="F33" s="507"/>
      <c r="G33" s="508"/>
      <c r="H33" s="509"/>
      <c r="I33" s="510"/>
      <c r="J33" s="511"/>
      <c r="K33" s="511"/>
      <c r="L33" s="512"/>
      <c r="M33" s="512"/>
      <c r="N33" s="513"/>
    </row>
    <row r="34" spans="1:14" ht="20.100000000000001" customHeight="1" x14ac:dyDescent="0.2">
      <c r="A34" s="847"/>
      <c r="B34" s="858" t="s">
        <v>31</v>
      </c>
      <c r="C34" s="859"/>
      <c r="D34" s="860"/>
      <c r="E34" s="32" t="s">
        <v>103</v>
      </c>
      <c r="F34" s="516">
        <f t="shared" ref="F34:N34" si="22">F4+F9+F14+F19+F24+F29</f>
        <v>0</v>
      </c>
      <c r="G34" s="517">
        <f t="shared" si="22"/>
        <v>0</v>
      </c>
      <c r="H34" s="518">
        <f t="shared" si="22"/>
        <v>0</v>
      </c>
      <c r="I34" s="519">
        <f t="shared" si="22"/>
        <v>0</v>
      </c>
      <c r="J34" s="520">
        <f t="shared" si="22"/>
        <v>0</v>
      </c>
      <c r="K34" s="520">
        <f t="shared" si="22"/>
        <v>0</v>
      </c>
      <c r="L34" s="521">
        <f t="shared" si="22"/>
        <v>0</v>
      </c>
      <c r="M34" s="521">
        <f t="shared" si="22"/>
        <v>0</v>
      </c>
      <c r="N34" s="522">
        <f t="shared" si="22"/>
        <v>0</v>
      </c>
    </row>
    <row r="35" spans="1:14" ht="20.100000000000001" customHeight="1" x14ac:dyDescent="0.2">
      <c r="A35" s="847"/>
      <c r="B35" s="861"/>
      <c r="C35" s="862"/>
      <c r="D35" s="863"/>
      <c r="E35" s="33" t="s">
        <v>104</v>
      </c>
      <c r="F35" s="523">
        <f t="shared" ref="F35:N35" si="23">F5+F10+F15+F20+F25+F30</f>
        <v>0</v>
      </c>
      <c r="G35" s="524">
        <f t="shared" si="23"/>
        <v>0</v>
      </c>
      <c r="H35" s="525">
        <f t="shared" si="23"/>
        <v>0</v>
      </c>
      <c r="I35" s="526">
        <f t="shared" si="23"/>
        <v>0</v>
      </c>
      <c r="J35" s="527">
        <f t="shared" si="23"/>
        <v>0</v>
      </c>
      <c r="K35" s="527">
        <f t="shared" si="23"/>
        <v>0</v>
      </c>
      <c r="L35" s="528">
        <f t="shared" si="23"/>
        <v>0</v>
      </c>
      <c r="M35" s="528">
        <f t="shared" si="23"/>
        <v>0</v>
      </c>
      <c r="N35" s="529">
        <f t="shared" si="23"/>
        <v>0</v>
      </c>
    </row>
    <row r="36" spans="1:14" s="164" customFormat="1" ht="20.100000000000001" customHeight="1" x14ac:dyDescent="0.2">
      <c r="A36" s="847"/>
      <c r="B36" s="861"/>
      <c r="C36" s="862"/>
      <c r="D36" s="863"/>
      <c r="E36" s="662" t="s">
        <v>517</v>
      </c>
      <c r="F36" s="663">
        <f>F6+F11+F16+F21+F26+F31</f>
        <v>0</v>
      </c>
      <c r="G36" s="664">
        <f t="shared" ref="G36:M36" si="24">G6+G11+G16+G21+G26+G31</f>
        <v>0</v>
      </c>
      <c r="H36" s="659">
        <f t="shared" si="24"/>
        <v>0</v>
      </c>
      <c r="I36" s="665">
        <f t="shared" si="24"/>
        <v>0</v>
      </c>
      <c r="J36" s="664">
        <f t="shared" si="24"/>
        <v>0</v>
      </c>
      <c r="K36" s="664">
        <f t="shared" si="24"/>
        <v>0</v>
      </c>
      <c r="L36" s="666">
        <f t="shared" si="24"/>
        <v>0</v>
      </c>
      <c r="M36" s="666">
        <f t="shared" si="24"/>
        <v>0</v>
      </c>
      <c r="N36" s="667">
        <f t="shared" ref="N36" si="25">N11+N16+N21+N26+N31</f>
        <v>0</v>
      </c>
    </row>
    <row r="37" spans="1:14" ht="20.100000000000001" customHeight="1" x14ac:dyDescent="0.2">
      <c r="A37" s="847"/>
      <c r="B37" s="861"/>
      <c r="C37" s="862"/>
      <c r="D37" s="863"/>
      <c r="E37" s="34" t="s">
        <v>102</v>
      </c>
      <c r="F37" s="530">
        <f>F7+F12+F17+F22+F27+F32</f>
        <v>0</v>
      </c>
      <c r="G37" s="531">
        <f t="shared" ref="G37:N38" si="26">G7+G12+G17+G22+G27+G32</f>
        <v>0</v>
      </c>
      <c r="H37" s="532">
        <f t="shared" si="26"/>
        <v>0</v>
      </c>
      <c r="I37" s="533">
        <f t="shared" si="26"/>
        <v>0</v>
      </c>
      <c r="J37" s="502">
        <f t="shared" si="26"/>
        <v>0</v>
      </c>
      <c r="K37" s="502">
        <f t="shared" si="26"/>
        <v>0</v>
      </c>
      <c r="L37" s="534">
        <f t="shared" si="26"/>
        <v>0</v>
      </c>
      <c r="M37" s="534">
        <f t="shared" si="26"/>
        <v>0</v>
      </c>
      <c r="N37" s="535">
        <f t="shared" si="26"/>
        <v>0</v>
      </c>
    </row>
    <row r="38" spans="1:14" ht="20.100000000000001" customHeight="1" thickBot="1" x14ac:dyDescent="0.25">
      <c r="A38" s="848"/>
      <c r="B38" s="864"/>
      <c r="C38" s="865"/>
      <c r="D38" s="866"/>
      <c r="E38" s="35" t="s">
        <v>105</v>
      </c>
      <c r="F38" s="536">
        <f>F8+F13+F18+F23+F28+F33</f>
        <v>0</v>
      </c>
      <c r="G38" s="537">
        <f t="shared" si="26"/>
        <v>0</v>
      </c>
      <c r="H38" s="538">
        <f t="shared" si="26"/>
        <v>0</v>
      </c>
      <c r="I38" s="539">
        <f t="shared" si="26"/>
        <v>0</v>
      </c>
      <c r="J38" s="540">
        <f t="shared" si="26"/>
        <v>0</v>
      </c>
      <c r="K38" s="540">
        <f t="shared" si="26"/>
        <v>0</v>
      </c>
      <c r="L38" s="541">
        <f t="shared" si="26"/>
        <v>0</v>
      </c>
      <c r="M38" s="541">
        <f t="shared" si="26"/>
        <v>0</v>
      </c>
      <c r="N38" s="542">
        <f t="shared" si="26"/>
        <v>0</v>
      </c>
    </row>
    <row r="39" spans="1:14" s="37" customFormat="1" ht="36" customHeight="1" thickBot="1" x14ac:dyDescent="0.25">
      <c r="A39" s="36"/>
      <c r="F39" s="162"/>
      <c r="G39" s="162"/>
      <c r="H39" s="38"/>
      <c r="I39" s="38"/>
      <c r="J39" s="38"/>
      <c r="K39" s="38"/>
      <c r="L39" s="38"/>
      <c r="M39" s="38"/>
    </row>
    <row r="40" spans="1:14" ht="36" customHeight="1" x14ac:dyDescent="0.2">
      <c r="A40" s="822" t="s">
        <v>109</v>
      </c>
      <c r="B40" s="825" t="s">
        <v>110</v>
      </c>
      <c r="C40" s="826"/>
      <c r="D40" s="827"/>
      <c r="E40" s="39" t="s">
        <v>101</v>
      </c>
      <c r="F40" s="670" t="str">
        <f>F3</f>
        <v>5年度実績</v>
      </c>
      <c r="G40" s="671" t="str">
        <f t="shared" ref="G40:N40" si="27">G3</f>
        <v>6年度実績</v>
      </c>
      <c r="H40" s="672" t="str">
        <f t="shared" si="27"/>
        <v>7年度実績</v>
      </c>
      <c r="I40" s="673" t="str">
        <f t="shared" si="27"/>
        <v>8年度見込</v>
      </c>
      <c r="J40" s="674" t="str">
        <f t="shared" si="27"/>
        <v>9年度見込</v>
      </c>
      <c r="K40" s="674" t="str">
        <f t="shared" si="27"/>
        <v>10年度見込</v>
      </c>
      <c r="L40" s="675" t="str">
        <f t="shared" si="27"/>
        <v>11年度見込</v>
      </c>
      <c r="M40" s="675" t="str">
        <f t="shared" si="27"/>
        <v>12年度見込</v>
      </c>
      <c r="N40" s="177" t="str">
        <f t="shared" si="27"/>
        <v>当初最終年度
12年度見込</v>
      </c>
    </row>
    <row r="41" spans="1:14" ht="18" customHeight="1" x14ac:dyDescent="0.2">
      <c r="A41" s="823"/>
      <c r="B41" s="837"/>
      <c r="C41" s="838"/>
      <c r="D41" s="839"/>
      <c r="E41" s="40" t="s">
        <v>103</v>
      </c>
      <c r="F41" s="487"/>
      <c r="G41" s="488"/>
      <c r="H41" s="489"/>
      <c r="I41" s="490"/>
      <c r="J41" s="491"/>
      <c r="K41" s="491"/>
      <c r="L41" s="492"/>
      <c r="M41" s="492"/>
      <c r="N41" s="493"/>
    </row>
    <row r="42" spans="1:14" ht="18" customHeight="1" x14ac:dyDescent="0.2">
      <c r="A42" s="823"/>
      <c r="B42" s="840"/>
      <c r="C42" s="841"/>
      <c r="D42" s="842"/>
      <c r="E42" s="41" t="s">
        <v>104</v>
      </c>
      <c r="F42" s="494"/>
      <c r="G42" s="495"/>
      <c r="H42" s="496"/>
      <c r="I42" s="497"/>
      <c r="J42" s="498"/>
      <c r="K42" s="498"/>
      <c r="L42" s="499"/>
      <c r="M42" s="499"/>
      <c r="N42" s="500"/>
    </row>
    <row r="43" spans="1:14" s="164" customFormat="1" ht="18" customHeight="1" x14ac:dyDescent="0.2">
      <c r="A43" s="823"/>
      <c r="B43" s="840"/>
      <c r="C43" s="841"/>
      <c r="D43" s="842"/>
      <c r="E43" s="662" t="s">
        <v>518</v>
      </c>
      <c r="F43" s="494"/>
      <c r="G43" s="495"/>
      <c r="H43" s="661"/>
      <c r="I43" s="548"/>
      <c r="J43" s="495"/>
      <c r="K43" s="495"/>
      <c r="L43" s="549"/>
      <c r="M43" s="549"/>
      <c r="N43" s="660"/>
    </row>
    <row r="44" spans="1:14" ht="18" customHeight="1" x14ac:dyDescent="0.2">
      <c r="A44" s="823"/>
      <c r="B44" s="840"/>
      <c r="C44" s="841"/>
      <c r="D44" s="842"/>
      <c r="E44" s="42" t="s">
        <v>102</v>
      </c>
      <c r="F44" s="501"/>
      <c r="G44" s="514"/>
      <c r="H44" s="515"/>
      <c r="I44" s="504">
        <f>H44+I41-I42+I43</f>
        <v>0</v>
      </c>
      <c r="J44" s="502">
        <f t="shared" ref="J44:M44" si="28">I44+J41-J42+J43</f>
        <v>0</v>
      </c>
      <c r="K44" s="503">
        <f t="shared" si="28"/>
        <v>0</v>
      </c>
      <c r="L44" s="505">
        <f t="shared" si="28"/>
        <v>0</v>
      </c>
      <c r="M44" s="505">
        <f t="shared" si="28"/>
        <v>0</v>
      </c>
      <c r="N44" s="506"/>
    </row>
    <row r="45" spans="1:14" ht="18" customHeight="1" x14ac:dyDescent="0.2">
      <c r="A45" s="823"/>
      <c r="B45" s="843"/>
      <c r="C45" s="844"/>
      <c r="D45" s="845"/>
      <c r="E45" s="43" t="s">
        <v>105</v>
      </c>
      <c r="F45" s="507"/>
      <c r="G45" s="508"/>
      <c r="H45" s="509"/>
      <c r="I45" s="510"/>
      <c r="J45" s="511"/>
      <c r="K45" s="511"/>
      <c r="L45" s="512"/>
      <c r="M45" s="512"/>
      <c r="N45" s="513"/>
    </row>
    <row r="46" spans="1:14" ht="18" customHeight="1" x14ac:dyDescent="0.2">
      <c r="A46" s="823"/>
      <c r="B46" s="837"/>
      <c r="C46" s="838"/>
      <c r="D46" s="839"/>
      <c r="E46" s="40" t="s">
        <v>103</v>
      </c>
      <c r="F46" s="543"/>
      <c r="G46" s="544"/>
      <c r="H46" s="545"/>
      <c r="I46" s="546"/>
      <c r="J46" s="491"/>
      <c r="K46" s="491"/>
      <c r="L46" s="547"/>
      <c r="M46" s="492"/>
      <c r="N46" s="493"/>
    </row>
    <row r="47" spans="1:14" ht="18" customHeight="1" x14ac:dyDescent="0.2">
      <c r="A47" s="823"/>
      <c r="B47" s="840"/>
      <c r="C47" s="841"/>
      <c r="D47" s="842"/>
      <c r="E47" s="41" t="s">
        <v>104</v>
      </c>
      <c r="F47" s="548"/>
      <c r="G47" s="549"/>
      <c r="H47" s="550"/>
      <c r="I47" s="551"/>
      <c r="J47" s="498"/>
      <c r="K47" s="498"/>
      <c r="L47" s="552"/>
      <c r="M47" s="499"/>
      <c r="N47" s="500"/>
    </row>
    <row r="48" spans="1:14" s="164" customFormat="1" ht="18" customHeight="1" x14ac:dyDescent="0.2">
      <c r="A48" s="823"/>
      <c r="B48" s="840"/>
      <c r="C48" s="841"/>
      <c r="D48" s="842"/>
      <c r="E48" s="662" t="s">
        <v>518</v>
      </c>
      <c r="F48" s="494"/>
      <c r="G48" s="495"/>
      <c r="H48" s="661"/>
      <c r="I48" s="548"/>
      <c r="J48" s="495"/>
      <c r="K48" s="495"/>
      <c r="L48" s="549"/>
      <c r="M48" s="549"/>
      <c r="N48" s="660"/>
    </row>
    <row r="49" spans="1:14" ht="18" customHeight="1" x14ac:dyDescent="0.2">
      <c r="A49" s="823"/>
      <c r="B49" s="840"/>
      <c r="C49" s="841"/>
      <c r="D49" s="842"/>
      <c r="E49" s="42" t="s">
        <v>102</v>
      </c>
      <c r="F49" s="553"/>
      <c r="G49" s="554"/>
      <c r="H49" s="555"/>
      <c r="I49" s="556">
        <f t="shared" ref="I49:M49" si="29">H49+I46-I47+I48</f>
        <v>0</v>
      </c>
      <c r="J49" s="503">
        <f t="shared" si="29"/>
        <v>0</v>
      </c>
      <c r="K49" s="503">
        <f t="shared" si="29"/>
        <v>0</v>
      </c>
      <c r="L49" s="557">
        <f t="shared" si="29"/>
        <v>0</v>
      </c>
      <c r="M49" s="505">
        <f t="shared" si="29"/>
        <v>0</v>
      </c>
      <c r="N49" s="506"/>
    </row>
    <row r="50" spans="1:14" ht="18" customHeight="1" x14ac:dyDescent="0.2">
      <c r="A50" s="823"/>
      <c r="B50" s="843"/>
      <c r="C50" s="844"/>
      <c r="D50" s="845"/>
      <c r="E50" s="43" t="s">
        <v>105</v>
      </c>
      <c r="F50" s="558"/>
      <c r="G50" s="559"/>
      <c r="H50" s="560"/>
      <c r="I50" s="561"/>
      <c r="J50" s="511"/>
      <c r="K50" s="511"/>
      <c r="L50" s="562"/>
      <c r="M50" s="512"/>
      <c r="N50" s="513"/>
    </row>
    <row r="51" spans="1:14" ht="18" customHeight="1" x14ac:dyDescent="0.2">
      <c r="A51" s="823"/>
      <c r="B51" s="837"/>
      <c r="C51" s="838"/>
      <c r="D51" s="839"/>
      <c r="E51" s="40" t="s">
        <v>103</v>
      </c>
      <c r="F51" s="543"/>
      <c r="G51" s="544"/>
      <c r="H51" s="545"/>
      <c r="I51" s="546"/>
      <c r="J51" s="491"/>
      <c r="K51" s="491"/>
      <c r="L51" s="547"/>
      <c r="M51" s="492"/>
      <c r="N51" s="493"/>
    </row>
    <row r="52" spans="1:14" ht="18" customHeight="1" x14ac:dyDescent="0.2">
      <c r="A52" s="823"/>
      <c r="B52" s="840"/>
      <c r="C52" s="841"/>
      <c r="D52" s="842"/>
      <c r="E52" s="41" t="s">
        <v>104</v>
      </c>
      <c r="F52" s="548"/>
      <c r="G52" s="549"/>
      <c r="H52" s="550"/>
      <c r="I52" s="551"/>
      <c r="J52" s="498"/>
      <c r="K52" s="498"/>
      <c r="L52" s="552"/>
      <c r="M52" s="499"/>
      <c r="N52" s="500"/>
    </row>
    <row r="53" spans="1:14" s="164" customFormat="1" ht="18" customHeight="1" x14ac:dyDescent="0.2">
      <c r="A53" s="823"/>
      <c r="B53" s="840"/>
      <c r="C53" s="841"/>
      <c r="D53" s="842"/>
      <c r="E53" s="662" t="s">
        <v>518</v>
      </c>
      <c r="F53" s="494"/>
      <c r="G53" s="495"/>
      <c r="H53" s="661"/>
      <c r="I53" s="548"/>
      <c r="J53" s="495"/>
      <c r="K53" s="495"/>
      <c r="L53" s="549"/>
      <c r="M53" s="549"/>
      <c r="N53" s="660"/>
    </row>
    <row r="54" spans="1:14" ht="18" customHeight="1" x14ac:dyDescent="0.2">
      <c r="A54" s="823"/>
      <c r="B54" s="840"/>
      <c r="C54" s="841"/>
      <c r="D54" s="842"/>
      <c r="E54" s="42" t="s">
        <v>102</v>
      </c>
      <c r="F54" s="553"/>
      <c r="G54" s="554"/>
      <c r="H54" s="555"/>
      <c r="I54" s="556">
        <f t="shared" ref="I54:M54" si="30">H54+I51-I52+I53</f>
        <v>0</v>
      </c>
      <c r="J54" s="503">
        <f t="shared" si="30"/>
        <v>0</v>
      </c>
      <c r="K54" s="503">
        <f t="shared" si="30"/>
        <v>0</v>
      </c>
      <c r="L54" s="557">
        <f t="shared" si="30"/>
        <v>0</v>
      </c>
      <c r="M54" s="505">
        <f t="shared" si="30"/>
        <v>0</v>
      </c>
      <c r="N54" s="506"/>
    </row>
    <row r="55" spans="1:14" ht="18" customHeight="1" x14ac:dyDescent="0.2">
      <c r="A55" s="823"/>
      <c r="B55" s="843"/>
      <c r="C55" s="844"/>
      <c r="D55" s="845"/>
      <c r="E55" s="43" t="s">
        <v>105</v>
      </c>
      <c r="F55" s="558"/>
      <c r="G55" s="559"/>
      <c r="H55" s="560"/>
      <c r="I55" s="561"/>
      <c r="J55" s="511"/>
      <c r="K55" s="511"/>
      <c r="L55" s="562"/>
      <c r="M55" s="512"/>
      <c r="N55" s="513"/>
    </row>
    <row r="56" spans="1:14" ht="18" customHeight="1" x14ac:dyDescent="0.2">
      <c r="A56" s="823"/>
      <c r="B56" s="837"/>
      <c r="C56" s="838"/>
      <c r="D56" s="839"/>
      <c r="E56" s="40" t="s">
        <v>103</v>
      </c>
      <c r="F56" s="543"/>
      <c r="G56" s="544"/>
      <c r="H56" s="545"/>
      <c r="I56" s="546"/>
      <c r="J56" s="491"/>
      <c r="K56" s="491"/>
      <c r="L56" s="547"/>
      <c r="M56" s="492"/>
      <c r="N56" s="493"/>
    </row>
    <row r="57" spans="1:14" ht="18" customHeight="1" x14ac:dyDescent="0.2">
      <c r="A57" s="823"/>
      <c r="B57" s="840"/>
      <c r="C57" s="841"/>
      <c r="D57" s="842"/>
      <c r="E57" s="41" t="s">
        <v>104</v>
      </c>
      <c r="F57" s="548"/>
      <c r="G57" s="549"/>
      <c r="H57" s="550"/>
      <c r="I57" s="551"/>
      <c r="J57" s="498"/>
      <c r="K57" s="498"/>
      <c r="L57" s="552"/>
      <c r="M57" s="499"/>
      <c r="N57" s="500"/>
    </row>
    <row r="58" spans="1:14" s="164" customFormat="1" ht="18" customHeight="1" x14ac:dyDescent="0.2">
      <c r="A58" s="823"/>
      <c r="B58" s="840"/>
      <c r="C58" s="841"/>
      <c r="D58" s="842"/>
      <c r="E58" s="662" t="s">
        <v>518</v>
      </c>
      <c r="F58" s="494"/>
      <c r="G58" s="495"/>
      <c r="H58" s="661"/>
      <c r="I58" s="548"/>
      <c r="J58" s="495"/>
      <c r="K58" s="495"/>
      <c r="L58" s="549"/>
      <c r="M58" s="549"/>
      <c r="N58" s="660"/>
    </row>
    <row r="59" spans="1:14" ht="18" customHeight="1" x14ac:dyDescent="0.2">
      <c r="A59" s="823"/>
      <c r="B59" s="840"/>
      <c r="C59" s="841"/>
      <c r="D59" s="842"/>
      <c r="E59" s="42" t="s">
        <v>102</v>
      </c>
      <c r="F59" s="553"/>
      <c r="G59" s="554"/>
      <c r="H59" s="555"/>
      <c r="I59" s="556">
        <f t="shared" ref="I59:M59" si="31">H59+I56-I57+I58</f>
        <v>0</v>
      </c>
      <c r="J59" s="503">
        <f t="shared" si="31"/>
        <v>0</v>
      </c>
      <c r="K59" s="503">
        <f t="shared" si="31"/>
        <v>0</v>
      </c>
      <c r="L59" s="557">
        <f t="shared" si="31"/>
        <v>0</v>
      </c>
      <c r="M59" s="505">
        <f t="shared" si="31"/>
        <v>0</v>
      </c>
      <c r="N59" s="506"/>
    </row>
    <row r="60" spans="1:14" ht="18" customHeight="1" x14ac:dyDescent="0.2">
      <c r="A60" s="823"/>
      <c r="B60" s="843"/>
      <c r="C60" s="844"/>
      <c r="D60" s="845"/>
      <c r="E60" s="43" t="s">
        <v>105</v>
      </c>
      <c r="F60" s="558"/>
      <c r="G60" s="559"/>
      <c r="H60" s="560"/>
      <c r="I60" s="561"/>
      <c r="J60" s="511"/>
      <c r="K60" s="511"/>
      <c r="L60" s="562"/>
      <c r="M60" s="512"/>
      <c r="N60" s="513"/>
    </row>
    <row r="61" spans="1:14" ht="18" customHeight="1" x14ac:dyDescent="0.2">
      <c r="A61" s="823"/>
      <c r="B61" s="870" t="s">
        <v>111</v>
      </c>
      <c r="C61" s="871"/>
      <c r="D61" s="872"/>
      <c r="E61" s="40" t="s">
        <v>103</v>
      </c>
      <c r="F61" s="563">
        <f>F41+F46+F51+F56</f>
        <v>0</v>
      </c>
      <c r="G61" s="564">
        <f t="shared" ref="G61:N61" si="32">G41+G46+G51+G56</f>
        <v>0</v>
      </c>
      <c r="H61" s="565">
        <f t="shared" si="32"/>
        <v>0</v>
      </c>
      <c r="I61" s="566">
        <f t="shared" si="32"/>
        <v>0</v>
      </c>
      <c r="J61" s="520">
        <f t="shared" si="32"/>
        <v>0</v>
      </c>
      <c r="K61" s="520">
        <f t="shared" si="32"/>
        <v>0</v>
      </c>
      <c r="L61" s="567">
        <f t="shared" si="32"/>
        <v>0</v>
      </c>
      <c r="M61" s="521">
        <f t="shared" si="32"/>
        <v>0</v>
      </c>
      <c r="N61" s="522">
        <f t="shared" si="32"/>
        <v>0</v>
      </c>
    </row>
    <row r="62" spans="1:14" ht="18" customHeight="1" x14ac:dyDescent="0.2">
      <c r="A62" s="823"/>
      <c r="B62" s="873"/>
      <c r="C62" s="874"/>
      <c r="D62" s="875"/>
      <c r="E62" s="41" t="s">
        <v>104</v>
      </c>
      <c r="F62" s="568">
        <f>F42+F47+F52+F57</f>
        <v>0</v>
      </c>
      <c r="G62" s="569">
        <f t="shared" ref="G62:N65" si="33">G42+G47+G52+G57</f>
        <v>0</v>
      </c>
      <c r="H62" s="570">
        <f t="shared" si="33"/>
        <v>0</v>
      </c>
      <c r="I62" s="571">
        <f t="shared" si="33"/>
        <v>0</v>
      </c>
      <c r="J62" s="527">
        <f t="shared" si="33"/>
        <v>0</v>
      </c>
      <c r="K62" s="527">
        <f t="shared" si="33"/>
        <v>0</v>
      </c>
      <c r="L62" s="572">
        <f t="shared" si="33"/>
        <v>0</v>
      </c>
      <c r="M62" s="528">
        <f t="shared" si="33"/>
        <v>0</v>
      </c>
      <c r="N62" s="529">
        <f t="shared" si="33"/>
        <v>0</v>
      </c>
    </row>
    <row r="63" spans="1:14" s="164" customFormat="1" ht="18" customHeight="1" x14ac:dyDescent="0.2">
      <c r="A63" s="823"/>
      <c r="B63" s="873"/>
      <c r="C63" s="874"/>
      <c r="D63" s="875"/>
      <c r="E63" s="662" t="s">
        <v>518</v>
      </c>
      <c r="F63" s="663">
        <f>F43+F48+F53+F58</f>
        <v>0</v>
      </c>
      <c r="G63" s="664">
        <f t="shared" si="33"/>
        <v>0</v>
      </c>
      <c r="H63" s="661">
        <f t="shared" si="33"/>
        <v>0</v>
      </c>
      <c r="I63" s="665">
        <f t="shared" si="33"/>
        <v>0</v>
      </c>
      <c r="J63" s="664">
        <f t="shared" si="33"/>
        <v>0</v>
      </c>
      <c r="K63" s="664">
        <f t="shared" si="33"/>
        <v>0</v>
      </c>
      <c r="L63" s="666">
        <f t="shared" si="33"/>
        <v>0</v>
      </c>
      <c r="M63" s="666">
        <f t="shared" si="33"/>
        <v>0</v>
      </c>
      <c r="N63" s="667">
        <f t="shared" si="33"/>
        <v>0</v>
      </c>
    </row>
    <row r="64" spans="1:14" ht="18" customHeight="1" x14ac:dyDescent="0.2">
      <c r="A64" s="823"/>
      <c r="B64" s="873"/>
      <c r="C64" s="874"/>
      <c r="D64" s="875"/>
      <c r="E64" s="42" t="s">
        <v>102</v>
      </c>
      <c r="F64" s="573">
        <f>F44+F49+F54+F59</f>
        <v>0</v>
      </c>
      <c r="G64" s="574">
        <f t="shared" si="33"/>
        <v>0</v>
      </c>
      <c r="H64" s="575">
        <f t="shared" si="33"/>
        <v>0</v>
      </c>
      <c r="I64" s="576">
        <f t="shared" si="33"/>
        <v>0</v>
      </c>
      <c r="J64" s="502">
        <f t="shared" si="33"/>
        <v>0</v>
      </c>
      <c r="K64" s="502">
        <f t="shared" si="33"/>
        <v>0</v>
      </c>
      <c r="L64" s="577">
        <f t="shared" si="33"/>
        <v>0</v>
      </c>
      <c r="M64" s="534">
        <f t="shared" si="33"/>
        <v>0</v>
      </c>
      <c r="N64" s="535">
        <f t="shared" si="33"/>
        <v>0</v>
      </c>
    </row>
    <row r="65" spans="1:14" ht="18" customHeight="1" thickBot="1" x14ac:dyDescent="0.25">
      <c r="A65" s="824"/>
      <c r="B65" s="876"/>
      <c r="C65" s="877"/>
      <c r="D65" s="878"/>
      <c r="E65" s="43" t="s">
        <v>105</v>
      </c>
      <c r="F65" s="578">
        <f>F45+F50+F55+F60</f>
        <v>0</v>
      </c>
      <c r="G65" s="579">
        <f t="shared" si="33"/>
        <v>0</v>
      </c>
      <c r="H65" s="580">
        <f t="shared" si="33"/>
        <v>0</v>
      </c>
      <c r="I65" s="581">
        <f t="shared" si="33"/>
        <v>0</v>
      </c>
      <c r="J65" s="540">
        <f t="shared" si="33"/>
        <v>0</v>
      </c>
      <c r="K65" s="540">
        <f t="shared" si="33"/>
        <v>0</v>
      </c>
      <c r="L65" s="582">
        <f t="shared" si="33"/>
        <v>0</v>
      </c>
      <c r="M65" s="541">
        <f t="shared" si="33"/>
        <v>0</v>
      </c>
      <c r="N65" s="542">
        <f t="shared" si="33"/>
        <v>0</v>
      </c>
    </row>
    <row r="66" spans="1:14" s="37" customFormat="1" ht="36" customHeight="1" thickBot="1" x14ac:dyDescent="0.25">
      <c r="A66" s="44"/>
      <c r="B66" s="45"/>
      <c r="C66" s="45"/>
      <c r="D66" s="45"/>
      <c r="E66" s="45"/>
      <c r="F66" s="163"/>
      <c r="G66" s="163"/>
      <c r="H66" s="46"/>
      <c r="I66" s="46"/>
      <c r="J66" s="46"/>
      <c r="K66" s="46"/>
      <c r="L66" s="46"/>
      <c r="M66" s="46"/>
    </row>
    <row r="67" spans="1:14" ht="36.75" customHeight="1" x14ac:dyDescent="0.2">
      <c r="A67" s="822" t="s">
        <v>112</v>
      </c>
      <c r="B67" s="825" t="s">
        <v>113</v>
      </c>
      <c r="C67" s="826"/>
      <c r="D67" s="826"/>
      <c r="E67" s="827"/>
      <c r="F67" s="670" t="str">
        <f>F3</f>
        <v>5年度実績</v>
      </c>
      <c r="G67" s="671" t="str">
        <f t="shared" ref="G67:N67" si="34">G3</f>
        <v>6年度実績</v>
      </c>
      <c r="H67" s="672" t="str">
        <f t="shared" si="34"/>
        <v>7年度実績</v>
      </c>
      <c r="I67" s="673" t="str">
        <f t="shared" si="34"/>
        <v>8年度見込</v>
      </c>
      <c r="J67" s="674" t="str">
        <f t="shared" si="34"/>
        <v>9年度見込</v>
      </c>
      <c r="K67" s="674" t="str">
        <f t="shared" si="34"/>
        <v>10年度見込</v>
      </c>
      <c r="L67" s="675" t="str">
        <f t="shared" si="34"/>
        <v>11年度見込</v>
      </c>
      <c r="M67" s="675" t="str">
        <f t="shared" si="34"/>
        <v>12年度見込</v>
      </c>
      <c r="N67" s="177" t="str">
        <f t="shared" si="34"/>
        <v>当初最終年度
12年度見込</v>
      </c>
    </row>
    <row r="68" spans="1:14" ht="19.5" customHeight="1" x14ac:dyDescent="0.2">
      <c r="A68" s="823"/>
      <c r="B68" s="47"/>
      <c r="C68" s="828" t="s">
        <v>418</v>
      </c>
      <c r="D68" s="829"/>
      <c r="E68" s="830"/>
      <c r="F68" s="583">
        <f t="shared" ref="F68:M68" si="35">F69+F70</f>
        <v>0</v>
      </c>
      <c r="G68" s="584">
        <f t="shared" si="35"/>
        <v>0</v>
      </c>
      <c r="H68" s="585">
        <f t="shared" si="35"/>
        <v>0</v>
      </c>
      <c r="I68" s="586">
        <f t="shared" si="35"/>
        <v>0</v>
      </c>
      <c r="J68" s="587">
        <f t="shared" si="35"/>
        <v>0</v>
      </c>
      <c r="K68" s="587">
        <f t="shared" si="35"/>
        <v>0</v>
      </c>
      <c r="L68" s="588">
        <f t="shared" si="35"/>
        <v>0</v>
      </c>
      <c r="M68" s="589">
        <f t="shared" si="35"/>
        <v>0</v>
      </c>
      <c r="N68" s="590">
        <f>N69+N70</f>
        <v>0</v>
      </c>
    </row>
    <row r="69" spans="1:14" ht="19.5" customHeight="1" x14ac:dyDescent="0.2">
      <c r="A69" s="823"/>
      <c r="B69" s="48"/>
      <c r="C69" s="49"/>
      <c r="D69" s="831" t="s">
        <v>419</v>
      </c>
      <c r="E69" s="832"/>
      <c r="F69" s="563">
        <f t="shared" ref="F69:L69" si="36">F34</f>
        <v>0</v>
      </c>
      <c r="G69" s="564">
        <f t="shared" si="36"/>
        <v>0</v>
      </c>
      <c r="H69" s="565">
        <f t="shared" si="36"/>
        <v>0</v>
      </c>
      <c r="I69" s="566">
        <f t="shared" si="36"/>
        <v>0</v>
      </c>
      <c r="J69" s="520">
        <f t="shared" si="36"/>
        <v>0</v>
      </c>
      <c r="K69" s="520">
        <f t="shared" si="36"/>
        <v>0</v>
      </c>
      <c r="L69" s="567">
        <f t="shared" si="36"/>
        <v>0</v>
      </c>
      <c r="M69" s="521">
        <f>M34</f>
        <v>0</v>
      </c>
      <c r="N69" s="522">
        <f>N34</f>
        <v>0</v>
      </c>
    </row>
    <row r="70" spans="1:14" ht="19.5" customHeight="1" x14ac:dyDescent="0.2">
      <c r="A70" s="823"/>
      <c r="B70" s="50"/>
      <c r="C70" s="51"/>
      <c r="D70" s="833" t="s">
        <v>420</v>
      </c>
      <c r="E70" s="834"/>
      <c r="F70" s="578">
        <f t="shared" ref="F70:L70" si="37">F61</f>
        <v>0</v>
      </c>
      <c r="G70" s="579">
        <f t="shared" si="37"/>
        <v>0</v>
      </c>
      <c r="H70" s="580">
        <f t="shared" si="37"/>
        <v>0</v>
      </c>
      <c r="I70" s="581">
        <f t="shared" si="37"/>
        <v>0</v>
      </c>
      <c r="J70" s="540">
        <f t="shared" si="37"/>
        <v>0</v>
      </c>
      <c r="K70" s="540">
        <f t="shared" si="37"/>
        <v>0</v>
      </c>
      <c r="L70" s="582">
        <f t="shared" si="37"/>
        <v>0</v>
      </c>
      <c r="M70" s="541">
        <f>M61</f>
        <v>0</v>
      </c>
      <c r="N70" s="591">
        <f>N61</f>
        <v>0</v>
      </c>
    </row>
    <row r="71" spans="1:14" ht="19.5" customHeight="1" x14ac:dyDescent="0.2">
      <c r="A71" s="823"/>
      <c r="B71" s="47"/>
      <c r="C71" s="829" t="s">
        <v>68</v>
      </c>
      <c r="D71" s="829"/>
      <c r="E71" s="830"/>
      <c r="F71" s="583">
        <f>F35+F62</f>
        <v>0</v>
      </c>
      <c r="G71" s="584">
        <f t="shared" ref="G71:L71" si="38">G35+G62</f>
        <v>0</v>
      </c>
      <c r="H71" s="585">
        <f t="shared" si="38"/>
        <v>0</v>
      </c>
      <c r="I71" s="586">
        <f t="shared" si="38"/>
        <v>0</v>
      </c>
      <c r="J71" s="587">
        <f t="shared" si="38"/>
        <v>0</v>
      </c>
      <c r="K71" s="587">
        <f t="shared" si="38"/>
        <v>0</v>
      </c>
      <c r="L71" s="588">
        <f t="shared" si="38"/>
        <v>0</v>
      </c>
      <c r="M71" s="589">
        <f>M35+M62</f>
        <v>0</v>
      </c>
      <c r="N71" s="590">
        <f>N35+N62</f>
        <v>0</v>
      </c>
    </row>
    <row r="72" spans="1:14" ht="19.5" customHeight="1" x14ac:dyDescent="0.2">
      <c r="A72" s="823"/>
      <c r="B72" s="47"/>
      <c r="C72" s="829" t="s">
        <v>59</v>
      </c>
      <c r="D72" s="829"/>
      <c r="E72" s="830"/>
      <c r="F72" s="583">
        <f>F38+F65</f>
        <v>0</v>
      </c>
      <c r="G72" s="584">
        <f t="shared" ref="G72:L72" si="39">G38+G65</f>
        <v>0</v>
      </c>
      <c r="H72" s="585">
        <f t="shared" si="39"/>
        <v>0</v>
      </c>
      <c r="I72" s="586">
        <f t="shared" si="39"/>
        <v>0</v>
      </c>
      <c r="J72" s="587">
        <f t="shared" si="39"/>
        <v>0</v>
      </c>
      <c r="K72" s="587">
        <f t="shared" si="39"/>
        <v>0</v>
      </c>
      <c r="L72" s="588">
        <f t="shared" si="39"/>
        <v>0</v>
      </c>
      <c r="M72" s="589">
        <f>M38+M65</f>
        <v>0</v>
      </c>
      <c r="N72" s="590">
        <f>N38+N65</f>
        <v>0</v>
      </c>
    </row>
    <row r="73" spans="1:14" ht="19.5" customHeight="1" thickBot="1" x14ac:dyDescent="0.25">
      <c r="A73" s="824"/>
      <c r="B73" s="52"/>
      <c r="C73" s="835" t="s">
        <v>102</v>
      </c>
      <c r="D73" s="835"/>
      <c r="E73" s="836"/>
      <c r="F73" s="592">
        <f>F37+F64</f>
        <v>0</v>
      </c>
      <c r="G73" s="593">
        <f>G37+G64</f>
        <v>0</v>
      </c>
      <c r="H73" s="593">
        <f t="shared" ref="H73:N73" si="40">H37+H64</f>
        <v>0</v>
      </c>
      <c r="I73" s="594">
        <f t="shared" si="40"/>
        <v>0</v>
      </c>
      <c r="J73" s="593">
        <f t="shared" si="40"/>
        <v>0</v>
      </c>
      <c r="K73" s="593">
        <f t="shared" si="40"/>
        <v>0</v>
      </c>
      <c r="L73" s="593">
        <f t="shared" si="40"/>
        <v>0</v>
      </c>
      <c r="M73" s="595">
        <f t="shared" si="40"/>
        <v>0</v>
      </c>
      <c r="N73" s="596">
        <f t="shared" si="40"/>
        <v>0</v>
      </c>
    </row>
  </sheetData>
  <mergeCells count="24">
    <mergeCell ref="A40:A65"/>
    <mergeCell ref="B56:D60"/>
    <mergeCell ref="A3:A38"/>
    <mergeCell ref="B4:D8"/>
    <mergeCell ref="B9:D13"/>
    <mergeCell ref="B14:D18"/>
    <mergeCell ref="B34:D38"/>
    <mergeCell ref="B19:D23"/>
    <mergeCell ref="B29:D33"/>
    <mergeCell ref="B24:D28"/>
    <mergeCell ref="B3:D3"/>
    <mergeCell ref="B61:D65"/>
    <mergeCell ref="B40:D40"/>
    <mergeCell ref="B41:D45"/>
    <mergeCell ref="B46:D50"/>
    <mergeCell ref="B51:D55"/>
    <mergeCell ref="A67:A73"/>
    <mergeCell ref="B67:E67"/>
    <mergeCell ref="C68:E68"/>
    <mergeCell ref="D69:E69"/>
    <mergeCell ref="D70:E70"/>
    <mergeCell ref="C71:E71"/>
    <mergeCell ref="C72:E72"/>
    <mergeCell ref="C73:E73"/>
  </mergeCells>
  <phoneticPr fontId="2"/>
  <conditionalFormatting sqref="I3:N3 I40:N40 I67:N67">
    <cfRule type="cellIs" dxfId="814" priority="1" stopIfTrue="1" operator="between">
      <formula>"実績"</formula>
      <formula>"実績"</formula>
    </cfRule>
    <cfRule type="cellIs" dxfId="813" priority="2" stopIfTrue="1" operator="between">
      <formula>"見込"</formula>
      <formula>"見込"</formula>
    </cfRule>
  </conditionalFormatting>
  <printOptions horizontalCentered="1"/>
  <pageMargins left="0.31496062992125984" right="0.39370078740157483" top="0.6692913385826772" bottom="0.39370078740157483" header="0.31496062992125984" footer="0.19685039370078741"/>
  <pageSetup paperSize="9" scale="52" orientation="portrait" horizontalDpi="300" verticalDpi="300"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77"/>
  <sheetViews>
    <sheetView zoomScale="85" zoomScaleNormal="85" zoomScaleSheetLayoutView="85" workbookViewId="0">
      <pane xSplit="1" ySplit="3" topLeftCell="B4" activePane="bottomRight" state="frozen"/>
      <selection activeCell="H18" sqref="H18"/>
      <selection pane="topRight" activeCell="H18" sqref="H18"/>
      <selection pane="bottomLeft" activeCell="H18" sqref="H18"/>
      <selection pane="bottomRight"/>
    </sheetView>
  </sheetViews>
  <sheetFormatPr defaultColWidth="9" defaultRowHeight="14.4" x14ac:dyDescent="0.2"/>
  <cols>
    <col min="1" max="1" width="3.77734375" style="8" customWidth="1"/>
    <col min="2" max="2" width="1.88671875" style="8" customWidth="1"/>
    <col min="3" max="3" width="2" style="8" customWidth="1"/>
    <col min="4" max="4" width="45.21875" style="8" customWidth="1"/>
    <col min="5" max="13" width="14.44140625" style="8" customWidth="1"/>
    <col min="14" max="16384" width="9" style="8"/>
  </cols>
  <sheetData>
    <row r="1" spans="1:13" s="81" customFormat="1" ht="52.5" customHeight="1" x14ac:dyDescent="0.2">
      <c r="A1" s="17" t="s">
        <v>377</v>
      </c>
      <c r="E1" s="17" t="str">
        <f>CONCATENATE("（","法人番号：",入力!B2,"　　","法人名：",入力!B5,"）")</f>
        <v>（法人番号：131999　　法人名：東西大学）</v>
      </c>
      <c r="F1" s="17"/>
      <c r="G1" s="17"/>
      <c r="H1" s="17"/>
      <c r="I1" s="17"/>
      <c r="J1" s="263"/>
      <c r="K1" s="263"/>
      <c r="L1" s="879" t="s">
        <v>378</v>
      </c>
      <c r="M1" s="880"/>
    </row>
    <row r="2" spans="1:13" s="81" customFormat="1" ht="31.5" customHeight="1" thickBot="1" x14ac:dyDescent="0.25">
      <c r="A2" s="17"/>
      <c r="E2" s="78"/>
      <c r="F2" s="78"/>
      <c r="G2" s="78"/>
      <c r="H2" s="78"/>
      <c r="I2" s="78"/>
      <c r="J2" s="264"/>
      <c r="K2" s="265"/>
      <c r="L2" s="265"/>
      <c r="M2" s="633" t="str">
        <f>入力!E18</f>
        <v>新規</v>
      </c>
    </row>
    <row r="3" spans="1:13" ht="32.25" customHeight="1" x14ac:dyDescent="0.2">
      <c r="A3" s="885" t="s">
        <v>49</v>
      </c>
      <c r="B3" s="886"/>
      <c r="C3" s="887"/>
      <c r="D3" s="887"/>
      <c r="E3" s="670" t="str">
        <f>VLOOKUP(入力!$I$14-3,和暦表示!$B$10:$D$35,3,FALSE)</f>
        <v>5年度実績</v>
      </c>
      <c r="F3" s="671" t="str">
        <f>VLOOKUP(入力!$I$14-2,和暦表示!$B$10:$D$35,3,FALSE)</f>
        <v>6年度実績</v>
      </c>
      <c r="G3" s="677" t="str">
        <f>VLOOKUP(入力!$I$14-1,和暦表示!$B$10:$D$35,3,FALSE)</f>
        <v>7年度実績</v>
      </c>
      <c r="H3" s="673" t="str">
        <f>VLOOKUP(入力!$I$14,和暦表示!$B$10:$D$35,3,FALSE)</f>
        <v>8年度見込</v>
      </c>
      <c r="I3" s="674" t="str">
        <f>VLOOKUP(入力!$I$14+1,和暦表示!$B$10:$D$35,3,FALSE)</f>
        <v>9年度見込</v>
      </c>
      <c r="J3" s="674" t="str">
        <f>VLOOKUP(入力!$I$14+2,和暦表示!$B$10:$D$35,3,FALSE)</f>
        <v>10年度見込</v>
      </c>
      <c r="K3" s="674" t="str">
        <f>VLOOKUP(入力!$I$14+3,和暦表示!$B$10:$D$35,3,FALSE)</f>
        <v>11年度見込</v>
      </c>
      <c r="L3" s="675" t="str">
        <f>VLOOKUP(入力!$I$14+4,和暦表示!$B$10:$D$35,3,FALSE)</f>
        <v>12年度見込</v>
      </c>
      <c r="M3" s="177" t="str">
        <f>"当初最終年度
"&amp;VLOOKUP(入力!$I$8+4,和暦表示!$B$10:$D$35,3,FALSE)</f>
        <v>当初最終年度
12年度見込</v>
      </c>
    </row>
    <row r="4" spans="1:13" ht="20.25" customHeight="1" x14ac:dyDescent="0.2">
      <c r="A4" s="881" t="s">
        <v>1</v>
      </c>
      <c r="B4" s="56" t="s">
        <v>5</v>
      </c>
      <c r="C4" s="57"/>
      <c r="D4" s="57"/>
      <c r="E4" s="326"/>
      <c r="F4" s="327"/>
      <c r="G4" s="328"/>
      <c r="H4" s="629">
        <f t="shared" ref="H4:L4" si="0">H5+H6</f>
        <v>0</v>
      </c>
      <c r="I4" s="327">
        <f t="shared" si="0"/>
        <v>0</v>
      </c>
      <c r="J4" s="327">
        <f t="shared" si="0"/>
        <v>0</v>
      </c>
      <c r="K4" s="327">
        <f t="shared" si="0"/>
        <v>0</v>
      </c>
      <c r="L4" s="345">
        <f t="shared" si="0"/>
        <v>0</v>
      </c>
      <c r="M4" s="346">
        <f>M5+M6</f>
        <v>0</v>
      </c>
    </row>
    <row r="5" spans="1:13" ht="20.25" customHeight="1" x14ac:dyDescent="0.2">
      <c r="A5" s="881"/>
      <c r="B5" s="57"/>
      <c r="C5" s="57" t="s">
        <v>33</v>
      </c>
      <c r="D5" s="57"/>
      <c r="E5" s="640">
        <f>E4-E6</f>
        <v>0</v>
      </c>
      <c r="F5" s="641">
        <f>F4-F6</f>
        <v>0</v>
      </c>
      <c r="G5" s="642">
        <f>G4-G6</f>
        <v>0</v>
      </c>
      <c r="H5" s="235"/>
      <c r="I5" s="641"/>
      <c r="J5" s="641"/>
      <c r="K5" s="641"/>
      <c r="L5" s="648"/>
      <c r="M5" s="356"/>
    </row>
    <row r="6" spans="1:13" ht="20.25" customHeight="1" x14ac:dyDescent="0.2">
      <c r="A6" s="881"/>
      <c r="B6" s="57"/>
      <c r="C6" s="57" t="s">
        <v>32</v>
      </c>
      <c r="D6" s="57"/>
      <c r="E6" s="640"/>
      <c r="F6" s="641"/>
      <c r="G6" s="642"/>
      <c r="H6" s="641"/>
      <c r="I6" s="641"/>
      <c r="J6" s="641"/>
      <c r="K6" s="641"/>
      <c r="L6" s="648"/>
      <c r="M6" s="356"/>
    </row>
    <row r="7" spans="1:13" ht="20.25" customHeight="1" x14ac:dyDescent="0.2">
      <c r="A7" s="881"/>
      <c r="B7" s="58" t="s">
        <v>6</v>
      </c>
      <c r="C7" s="57"/>
      <c r="D7" s="57"/>
      <c r="E7" s="640"/>
      <c r="F7" s="641"/>
      <c r="G7" s="642"/>
      <c r="H7" s="641"/>
      <c r="I7" s="641"/>
      <c r="J7" s="641"/>
      <c r="K7" s="641"/>
      <c r="L7" s="648"/>
      <c r="M7" s="356"/>
    </row>
    <row r="8" spans="1:13" ht="20.25" customHeight="1" x14ac:dyDescent="0.2">
      <c r="A8" s="881"/>
      <c r="B8" s="58" t="s">
        <v>7</v>
      </c>
      <c r="C8" s="57"/>
      <c r="D8" s="57"/>
      <c r="E8" s="235">
        <f t="shared" ref="E8:G8" si="1">E9+E10</f>
        <v>0</v>
      </c>
      <c r="F8" s="236">
        <f t="shared" si="1"/>
        <v>0</v>
      </c>
      <c r="G8" s="237">
        <f t="shared" si="1"/>
        <v>0</v>
      </c>
      <c r="H8" s="355">
        <f t="shared" ref="H8:M8" si="2">H9+H10</f>
        <v>0</v>
      </c>
      <c r="I8" s="641">
        <f t="shared" si="2"/>
        <v>0</v>
      </c>
      <c r="J8" s="641">
        <f t="shared" si="2"/>
        <v>0</v>
      </c>
      <c r="K8" s="641">
        <f t="shared" si="2"/>
        <v>0</v>
      </c>
      <c r="L8" s="648">
        <f t="shared" si="2"/>
        <v>0</v>
      </c>
      <c r="M8" s="356">
        <f t="shared" si="2"/>
        <v>0</v>
      </c>
    </row>
    <row r="9" spans="1:13" ht="20.25" customHeight="1" x14ac:dyDescent="0.2">
      <c r="A9" s="881"/>
      <c r="B9" s="57"/>
      <c r="C9" s="57" t="s">
        <v>34</v>
      </c>
      <c r="D9" s="57"/>
      <c r="E9" s="640"/>
      <c r="F9" s="641"/>
      <c r="G9" s="642"/>
      <c r="H9" s="641"/>
      <c r="I9" s="641"/>
      <c r="J9" s="641"/>
      <c r="K9" s="641"/>
      <c r="L9" s="648"/>
      <c r="M9" s="356"/>
    </row>
    <row r="10" spans="1:13" ht="20.25" customHeight="1" x14ac:dyDescent="0.2">
      <c r="A10" s="881"/>
      <c r="B10" s="57"/>
      <c r="C10" s="57" t="s">
        <v>35</v>
      </c>
      <c r="D10" s="57"/>
      <c r="E10" s="640"/>
      <c r="F10" s="641"/>
      <c r="G10" s="642"/>
      <c r="H10" s="641"/>
      <c r="I10" s="641"/>
      <c r="J10" s="641"/>
      <c r="K10" s="641"/>
      <c r="L10" s="648"/>
      <c r="M10" s="356"/>
    </row>
    <row r="11" spans="1:13" ht="20.25" customHeight="1" x14ac:dyDescent="0.2">
      <c r="A11" s="881"/>
      <c r="B11" s="58" t="s">
        <v>8</v>
      </c>
      <c r="C11" s="57"/>
      <c r="D11" s="57"/>
      <c r="E11" s="235"/>
      <c r="F11" s="236"/>
      <c r="G11" s="237"/>
      <c r="H11" s="355">
        <f t="shared" ref="H11:M11" si="3">H12+H15+H16</f>
        <v>0</v>
      </c>
      <c r="I11" s="641">
        <f t="shared" si="3"/>
        <v>0</v>
      </c>
      <c r="J11" s="641">
        <f t="shared" si="3"/>
        <v>0</v>
      </c>
      <c r="K11" s="641">
        <f t="shared" si="3"/>
        <v>0</v>
      </c>
      <c r="L11" s="648">
        <f t="shared" si="3"/>
        <v>0</v>
      </c>
      <c r="M11" s="356">
        <f t="shared" si="3"/>
        <v>0</v>
      </c>
    </row>
    <row r="12" spans="1:13" ht="20.25" customHeight="1" x14ac:dyDescent="0.2">
      <c r="A12" s="881"/>
      <c r="B12" s="57"/>
      <c r="C12" s="57" t="s">
        <v>36</v>
      </c>
      <c r="D12" s="57"/>
      <c r="E12" s="235"/>
      <c r="F12" s="236"/>
      <c r="G12" s="237"/>
      <c r="H12" s="355">
        <f t="shared" ref="H12:M12" si="4">H13+H14</f>
        <v>0</v>
      </c>
      <c r="I12" s="641">
        <f t="shared" si="4"/>
        <v>0</v>
      </c>
      <c r="J12" s="641">
        <f t="shared" si="4"/>
        <v>0</v>
      </c>
      <c r="K12" s="641">
        <f t="shared" si="4"/>
        <v>0</v>
      </c>
      <c r="L12" s="648">
        <f t="shared" si="4"/>
        <v>0</v>
      </c>
      <c r="M12" s="356">
        <f t="shared" si="4"/>
        <v>0</v>
      </c>
    </row>
    <row r="13" spans="1:13" ht="20.25" customHeight="1" x14ac:dyDescent="0.2">
      <c r="A13" s="881"/>
      <c r="B13" s="58"/>
      <c r="C13" s="57"/>
      <c r="D13" s="57" t="s">
        <v>37</v>
      </c>
      <c r="E13" s="640"/>
      <c r="F13" s="641"/>
      <c r="G13" s="642"/>
      <c r="H13" s="641"/>
      <c r="I13" s="641"/>
      <c r="J13" s="641"/>
      <c r="K13" s="641"/>
      <c r="L13" s="648"/>
      <c r="M13" s="356"/>
    </row>
    <row r="14" spans="1:13" ht="20.25" customHeight="1" x14ac:dyDescent="0.2">
      <c r="A14" s="881"/>
      <c r="B14" s="58"/>
      <c r="C14" s="57"/>
      <c r="D14" s="57" t="s">
        <v>38</v>
      </c>
      <c r="E14" s="640">
        <f>E12-E13</f>
        <v>0</v>
      </c>
      <c r="F14" s="641">
        <f>F12-F13</f>
        <v>0</v>
      </c>
      <c r="G14" s="642">
        <f>G12-G13</f>
        <v>0</v>
      </c>
      <c r="H14" s="641"/>
      <c r="I14" s="641"/>
      <c r="J14" s="641"/>
      <c r="K14" s="641"/>
      <c r="L14" s="648"/>
      <c r="M14" s="356"/>
    </row>
    <row r="15" spans="1:13" ht="20.25" customHeight="1" x14ac:dyDescent="0.2">
      <c r="A15" s="881"/>
      <c r="B15" s="58"/>
      <c r="C15" s="57" t="s">
        <v>39</v>
      </c>
      <c r="D15" s="57"/>
      <c r="E15" s="640"/>
      <c r="F15" s="641"/>
      <c r="G15" s="642"/>
      <c r="H15" s="641"/>
      <c r="I15" s="641"/>
      <c r="J15" s="641"/>
      <c r="K15" s="641"/>
      <c r="L15" s="648"/>
      <c r="M15" s="356"/>
    </row>
    <row r="16" spans="1:13" ht="20.25" customHeight="1" x14ac:dyDescent="0.2">
      <c r="A16" s="881"/>
      <c r="B16" s="58"/>
      <c r="C16" s="888" t="s">
        <v>40</v>
      </c>
      <c r="D16" s="889"/>
      <c r="E16" s="640">
        <f>E11-E12-E15</f>
        <v>0</v>
      </c>
      <c r="F16" s="641">
        <f>F11-F12-F15</f>
        <v>0</v>
      </c>
      <c r="G16" s="642">
        <f>G11-G12-G15</f>
        <v>0</v>
      </c>
      <c r="H16" s="641"/>
      <c r="I16" s="641"/>
      <c r="J16" s="641"/>
      <c r="K16" s="641"/>
      <c r="L16" s="648"/>
      <c r="M16" s="356"/>
    </row>
    <row r="17" spans="1:13" ht="20.25" customHeight="1" x14ac:dyDescent="0.2">
      <c r="A17" s="881"/>
      <c r="B17" s="59" t="s">
        <v>21</v>
      </c>
      <c r="C17" s="60"/>
      <c r="D17" s="60"/>
      <c r="E17" s="640"/>
      <c r="F17" s="641"/>
      <c r="G17" s="642"/>
      <c r="H17" s="641">
        <f>SUM(H18:H21)</f>
        <v>0</v>
      </c>
      <c r="I17" s="641">
        <f t="shared" ref="I17:M17" si="5">SUM(I18:I21)</f>
        <v>0</v>
      </c>
      <c r="J17" s="641">
        <f t="shared" si="5"/>
        <v>0</v>
      </c>
      <c r="K17" s="641">
        <f t="shared" si="5"/>
        <v>0</v>
      </c>
      <c r="L17" s="641">
        <f t="shared" si="5"/>
        <v>0</v>
      </c>
      <c r="M17" s="356">
        <f t="shared" si="5"/>
        <v>0</v>
      </c>
    </row>
    <row r="18" spans="1:13" ht="20.25" customHeight="1" x14ac:dyDescent="0.2">
      <c r="A18" s="881"/>
      <c r="B18" s="57"/>
      <c r="C18" s="57" t="s">
        <v>264</v>
      </c>
      <c r="D18" s="57"/>
      <c r="E18" s="640"/>
      <c r="F18" s="641"/>
      <c r="G18" s="642"/>
      <c r="H18" s="641"/>
      <c r="I18" s="641"/>
      <c r="J18" s="641"/>
      <c r="K18" s="641"/>
      <c r="L18" s="648"/>
      <c r="M18" s="356"/>
    </row>
    <row r="19" spans="1:13" ht="20.25" customHeight="1" x14ac:dyDescent="0.2">
      <c r="A19" s="881"/>
      <c r="B19" s="57"/>
      <c r="C19" s="57" t="s">
        <v>265</v>
      </c>
      <c r="D19" s="57"/>
      <c r="E19" s="640"/>
      <c r="F19" s="641"/>
      <c r="G19" s="642"/>
      <c r="H19" s="641"/>
      <c r="I19" s="641"/>
      <c r="J19" s="641"/>
      <c r="K19" s="641"/>
      <c r="L19" s="648"/>
      <c r="M19" s="356"/>
    </row>
    <row r="20" spans="1:13" ht="20.25" customHeight="1" x14ac:dyDescent="0.2">
      <c r="A20" s="881"/>
      <c r="B20" s="57"/>
      <c r="C20" s="57" t="s">
        <v>41</v>
      </c>
      <c r="D20" s="57"/>
      <c r="E20" s="640"/>
      <c r="F20" s="641"/>
      <c r="G20" s="642"/>
      <c r="H20" s="641"/>
      <c r="I20" s="641"/>
      <c r="J20" s="641"/>
      <c r="K20" s="641"/>
      <c r="L20" s="648"/>
      <c r="M20" s="356"/>
    </row>
    <row r="21" spans="1:13" ht="20.25" customHeight="1" x14ac:dyDescent="0.2">
      <c r="A21" s="881"/>
      <c r="B21" s="57"/>
      <c r="C21" s="57" t="s">
        <v>42</v>
      </c>
      <c r="D21" s="57"/>
      <c r="E21" s="640">
        <f>E17-E18-E19-E20</f>
        <v>0</v>
      </c>
      <c r="F21" s="641">
        <f>F17-F18-F19-F20</f>
        <v>0</v>
      </c>
      <c r="G21" s="642">
        <f>G17-G18-G19-G20</f>
        <v>0</v>
      </c>
      <c r="H21" s="641"/>
      <c r="I21" s="641"/>
      <c r="J21" s="641"/>
      <c r="K21" s="641"/>
      <c r="L21" s="648"/>
      <c r="M21" s="356"/>
    </row>
    <row r="22" spans="1:13" ht="20.25" customHeight="1" x14ac:dyDescent="0.2">
      <c r="A22" s="881"/>
      <c r="B22" s="59" t="s">
        <v>266</v>
      </c>
      <c r="C22" s="60"/>
      <c r="D22" s="60"/>
      <c r="E22" s="640"/>
      <c r="F22" s="641"/>
      <c r="G22" s="642"/>
      <c r="H22" s="641"/>
      <c r="I22" s="641"/>
      <c r="J22" s="641"/>
      <c r="K22" s="641"/>
      <c r="L22" s="648"/>
      <c r="M22" s="356"/>
    </row>
    <row r="23" spans="1:13" ht="20.25" customHeight="1" x14ac:dyDescent="0.2">
      <c r="A23" s="881"/>
      <c r="B23" s="59" t="s">
        <v>274</v>
      </c>
      <c r="C23" s="60"/>
      <c r="D23" s="60"/>
      <c r="E23" s="640"/>
      <c r="F23" s="641"/>
      <c r="G23" s="642"/>
      <c r="H23" s="641"/>
      <c r="I23" s="641"/>
      <c r="J23" s="641"/>
      <c r="K23" s="641"/>
      <c r="L23" s="648"/>
      <c r="M23" s="356"/>
    </row>
    <row r="24" spans="1:13" ht="20.25" customHeight="1" x14ac:dyDescent="0.2">
      <c r="A24" s="881"/>
      <c r="B24" s="59" t="s">
        <v>9</v>
      </c>
      <c r="C24" s="60"/>
      <c r="D24" s="60"/>
      <c r="E24" s="235"/>
      <c r="F24" s="236"/>
      <c r="G24" s="237"/>
      <c r="H24" s="355">
        <f t="shared" ref="H24:M24" si="6">H25+H26</f>
        <v>0</v>
      </c>
      <c r="I24" s="641">
        <f t="shared" si="6"/>
        <v>0</v>
      </c>
      <c r="J24" s="641">
        <f t="shared" si="6"/>
        <v>0</v>
      </c>
      <c r="K24" s="641">
        <f t="shared" si="6"/>
        <v>0</v>
      </c>
      <c r="L24" s="648">
        <f t="shared" si="6"/>
        <v>0</v>
      </c>
      <c r="M24" s="356">
        <f t="shared" si="6"/>
        <v>0</v>
      </c>
    </row>
    <row r="25" spans="1:13" ht="20.25" customHeight="1" x14ac:dyDescent="0.2">
      <c r="A25" s="881"/>
      <c r="B25" s="59"/>
      <c r="C25" s="60" t="s">
        <v>74</v>
      </c>
      <c r="D25" s="60"/>
      <c r="E25" s="640"/>
      <c r="F25" s="641"/>
      <c r="G25" s="642"/>
      <c r="H25" s="641"/>
      <c r="I25" s="641"/>
      <c r="J25" s="641"/>
      <c r="K25" s="641"/>
      <c r="L25" s="648"/>
      <c r="M25" s="356"/>
    </row>
    <row r="26" spans="1:13" ht="20.25" customHeight="1" x14ac:dyDescent="0.2">
      <c r="A26" s="881"/>
      <c r="B26" s="59"/>
      <c r="C26" s="60" t="s">
        <v>75</v>
      </c>
      <c r="D26" s="60"/>
      <c r="E26" s="640">
        <f>E24-E25</f>
        <v>0</v>
      </c>
      <c r="F26" s="641">
        <f>F24-F25</f>
        <v>0</v>
      </c>
      <c r="G26" s="642">
        <f>G24-G25</f>
        <v>0</v>
      </c>
      <c r="H26" s="641"/>
      <c r="I26" s="641"/>
      <c r="J26" s="641"/>
      <c r="K26" s="641"/>
      <c r="L26" s="648"/>
      <c r="M26" s="356"/>
    </row>
    <row r="27" spans="1:13" ht="20.25" customHeight="1" x14ac:dyDescent="0.2">
      <c r="A27" s="881"/>
      <c r="B27" s="59" t="s">
        <v>43</v>
      </c>
      <c r="C27" s="60"/>
      <c r="D27" s="60"/>
      <c r="E27" s="235"/>
      <c r="F27" s="236"/>
      <c r="G27" s="237"/>
      <c r="H27" s="355">
        <f t="shared" ref="H27:M27" si="7">H28+H29+H30</f>
        <v>0</v>
      </c>
      <c r="I27" s="641">
        <f t="shared" si="7"/>
        <v>0</v>
      </c>
      <c r="J27" s="641">
        <f t="shared" si="7"/>
        <v>0</v>
      </c>
      <c r="K27" s="641">
        <f t="shared" si="7"/>
        <v>0</v>
      </c>
      <c r="L27" s="648">
        <f t="shared" si="7"/>
        <v>0</v>
      </c>
      <c r="M27" s="356">
        <f t="shared" si="7"/>
        <v>0</v>
      </c>
    </row>
    <row r="28" spans="1:13" ht="20.25" customHeight="1" x14ac:dyDescent="0.2">
      <c r="A28" s="881"/>
      <c r="B28" s="57"/>
      <c r="C28" s="57" t="s">
        <v>44</v>
      </c>
      <c r="D28" s="57"/>
      <c r="E28" s="640"/>
      <c r="F28" s="641"/>
      <c r="G28" s="642"/>
      <c r="H28" s="641"/>
      <c r="I28" s="641"/>
      <c r="J28" s="641"/>
      <c r="K28" s="641"/>
      <c r="L28" s="648"/>
      <c r="M28" s="356"/>
    </row>
    <row r="29" spans="1:13" ht="20.25" customHeight="1" x14ac:dyDescent="0.2">
      <c r="A29" s="881"/>
      <c r="B29" s="57"/>
      <c r="C29" s="57" t="s">
        <v>45</v>
      </c>
      <c r="D29" s="57"/>
      <c r="E29" s="640"/>
      <c r="F29" s="641"/>
      <c r="G29" s="642"/>
      <c r="H29" s="641"/>
      <c r="I29" s="641"/>
      <c r="J29" s="641"/>
      <c r="K29" s="641"/>
      <c r="L29" s="648"/>
      <c r="M29" s="356"/>
    </row>
    <row r="30" spans="1:13" ht="20.25" customHeight="1" x14ac:dyDescent="0.2">
      <c r="A30" s="881"/>
      <c r="B30" s="57"/>
      <c r="C30" s="57" t="s">
        <v>46</v>
      </c>
      <c r="D30" s="57"/>
      <c r="E30" s="640">
        <f>E27-E28-E29</f>
        <v>0</v>
      </c>
      <c r="F30" s="641">
        <f>F27-F28-F29</f>
        <v>0</v>
      </c>
      <c r="G30" s="642">
        <f>G27-G28-G29</f>
        <v>0</v>
      </c>
      <c r="H30" s="641"/>
      <c r="I30" s="641"/>
      <c r="J30" s="641"/>
      <c r="K30" s="641"/>
      <c r="L30" s="648"/>
      <c r="M30" s="356"/>
    </row>
    <row r="31" spans="1:13" ht="20.25" customHeight="1" x14ac:dyDescent="0.2">
      <c r="A31" s="881"/>
      <c r="B31" s="59" t="s">
        <v>10</v>
      </c>
      <c r="C31" s="60"/>
      <c r="D31" s="60"/>
      <c r="E31" s="640"/>
      <c r="F31" s="641"/>
      <c r="G31" s="642"/>
      <c r="H31" s="641"/>
      <c r="I31" s="641"/>
      <c r="J31" s="641"/>
      <c r="K31" s="641"/>
      <c r="L31" s="648"/>
      <c r="M31" s="356"/>
    </row>
    <row r="32" spans="1:13" ht="20.25" customHeight="1" x14ac:dyDescent="0.2">
      <c r="A32" s="881"/>
      <c r="B32" s="59" t="s">
        <v>11</v>
      </c>
      <c r="C32" s="60"/>
      <c r="D32" s="60"/>
      <c r="E32" s="640"/>
      <c r="F32" s="641"/>
      <c r="G32" s="642"/>
      <c r="H32" s="641">
        <f t="shared" ref="H32:M32" si="8">H33+H34+H35+H36+H37</f>
        <v>0</v>
      </c>
      <c r="I32" s="641">
        <f t="shared" si="8"/>
        <v>0</v>
      </c>
      <c r="J32" s="641">
        <f t="shared" si="8"/>
        <v>0</v>
      </c>
      <c r="K32" s="641">
        <f t="shared" si="8"/>
        <v>0</v>
      </c>
      <c r="L32" s="641">
        <f t="shared" si="8"/>
        <v>0</v>
      </c>
      <c r="M32" s="356">
        <f t="shared" si="8"/>
        <v>0</v>
      </c>
    </row>
    <row r="33" spans="1:13" ht="20.25" customHeight="1" x14ac:dyDescent="0.2">
      <c r="A33" s="881"/>
      <c r="B33" s="57"/>
      <c r="C33" s="57" t="s">
        <v>267</v>
      </c>
      <c r="D33" s="57"/>
      <c r="E33" s="640"/>
      <c r="F33" s="641"/>
      <c r="G33" s="642"/>
      <c r="H33" s="641"/>
      <c r="I33" s="641"/>
      <c r="J33" s="641"/>
      <c r="K33" s="641"/>
      <c r="L33" s="648"/>
      <c r="M33" s="356"/>
    </row>
    <row r="34" spans="1:13" ht="20.25" customHeight="1" x14ac:dyDescent="0.2">
      <c r="A34" s="881"/>
      <c r="B34" s="57"/>
      <c r="C34" s="57" t="s">
        <v>268</v>
      </c>
      <c r="D34" s="57"/>
      <c r="E34" s="640"/>
      <c r="F34" s="641"/>
      <c r="G34" s="642"/>
      <c r="H34" s="641"/>
      <c r="I34" s="641"/>
      <c r="J34" s="641"/>
      <c r="K34" s="641"/>
      <c r="L34" s="648"/>
      <c r="M34" s="356"/>
    </row>
    <row r="35" spans="1:13" ht="20.25" customHeight="1" x14ac:dyDescent="0.2">
      <c r="A35" s="881"/>
      <c r="B35" s="57"/>
      <c r="C35" s="57" t="s">
        <v>269</v>
      </c>
      <c r="D35" s="57"/>
      <c r="E35" s="640"/>
      <c r="F35" s="641"/>
      <c r="G35" s="642"/>
      <c r="H35" s="641"/>
      <c r="I35" s="641"/>
      <c r="J35" s="641"/>
      <c r="K35" s="641"/>
      <c r="L35" s="648"/>
      <c r="M35" s="356"/>
    </row>
    <row r="36" spans="1:13" ht="20.25" customHeight="1" x14ac:dyDescent="0.2">
      <c r="A36" s="881"/>
      <c r="B36" s="57"/>
      <c r="C36" s="57" t="s">
        <v>47</v>
      </c>
      <c r="D36" s="57"/>
      <c r="E36" s="640"/>
      <c r="F36" s="641"/>
      <c r="G36" s="642"/>
      <c r="H36" s="641"/>
      <c r="I36" s="641"/>
      <c r="J36" s="641"/>
      <c r="K36" s="641"/>
      <c r="L36" s="648"/>
      <c r="M36" s="356"/>
    </row>
    <row r="37" spans="1:13" ht="20.25" customHeight="1" x14ac:dyDescent="0.2">
      <c r="A37" s="881"/>
      <c r="B37" s="57"/>
      <c r="C37" s="57" t="s">
        <v>48</v>
      </c>
      <c r="D37" s="57"/>
      <c r="E37" s="640">
        <f>E32-E33-E34-E35-E36</f>
        <v>0</v>
      </c>
      <c r="F37" s="641">
        <f>F32-F33-F34-F35-F36</f>
        <v>0</v>
      </c>
      <c r="G37" s="642">
        <f>G32-G33-G34-G35-G36</f>
        <v>0</v>
      </c>
      <c r="H37" s="641"/>
      <c r="I37" s="641"/>
      <c r="J37" s="641"/>
      <c r="K37" s="641"/>
      <c r="L37" s="648"/>
      <c r="M37" s="356"/>
    </row>
    <row r="38" spans="1:13" ht="20.25" customHeight="1" x14ac:dyDescent="0.2">
      <c r="A38" s="881"/>
      <c r="B38" s="65" t="s">
        <v>12</v>
      </c>
      <c r="C38" s="59"/>
      <c r="D38" s="59"/>
      <c r="E38" s="235"/>
      <c r="F38" s="236"/>
      <c r="G38" s="237"/>
      <c r="H38" s="649">
        <f t="shared" ref="H38:M38" si="9">H39+H40+H41</f>
        <v>0</v>
      </c>
      <c r="I38" s="236">
        <f t="shared" si="9"/>
        <v>0</v>
      </c>
      <c r="J38" s="236">
        <f t="shared" si="9"/>
        <v>0</v>
      </c>
      <c r="K38" s="236">
        <f t="shared" si="9"/>
        <v>0</v>
      </c>
      <c r="L38" s="650">
        <f t="shared" si="9"/>
        <v>0</v>
      </c>
      <c r="M38" s="651">
        <f t="shared" si="9"/>
        <v>0</v>
      </c>
    </row>
    <row r="39" spans="1:13" ht="20.25" customHeight="1" x14ac:dyDescent="0.2">
      <c r="A39" s="881"/>
      <c r="B39" s="65"/>
      <c r="C39" s="59" t="s">
        <v>60</v>
      </c>
      <c r="D39" s="59"/>
      <c r="E39" s="235"/>
      <c r="F39" s="236"/>
      <c r="G39" s="643"/>
      <c r="H39" s="236"/>
      <c r="I39" s="236"/>
      <c r="J39" s="236"/>
      <c r="K39" s="236"/>
      <c r="L39" s="650"/>
      <c r="M39" s="651"/>
    </row>
    <row r="40" spans="1:13" ht="20.25" customHeight="1" x14ac:dyDescent="0.2">
      <c r="A40" s="881"/>
      <c r="B40" s="65"/>
      <c r="C40" s="59" t="s">
        <v>55</v>
      </c>
      <c r="D40" s="59"/>
      <c r="E40" s="235"/>
      <c r="F40" s="236"/>
      <c r="G40" s="643"/>
      <c r="H40" s="236"/>
      <c r="I40" s="236"/>
      <c r="J40" s="236"/>
      <c r="K40" s="236"/>
      <c r="L40" s="650"/>
      <c r="M40" s="651"/>
    </row>
    <row r="41" spans="1:13" ht="20.25" customHeight="1" x14ac:dyDescent="0.2">
      <c r="A41" s="881"/>
      <c r="B41" s="66"/>
      <c r="C41" s="267" t="s">
        <v>76</v>
      </c>
      <c r="D41" s="267"/>
      <c r="E41" s="668">
        <f>E38-E39-E40</f>
        <v>0</v>
      </c>
      <c r="F41" s="644">
        <f>F38-F39-F40</f>
        <v>0</v>
      </c>
      <c r="G41" s="669">
        <f>G38-G39-G40</f>
        <v>0</v>
      </c>
      <c r="H41" s="644"/>
      <c r="I41" s="644"/>
      <c r="J41" s="644"/>
      <c r="K41" s="644"/>
      <c r="L41" s="652"/>
      <c r="M41" s="653"/>
    </row>
    <row r="42" spans="1:13" ht="20.25" customHeight="1" x14ac:dyDescent="0.2">
      <c r="A42" s="881"/>
      <c r="B42" s="61" t="s">
        <v>50</v>
      </c>
      <c r="C42" s="61"/>
      <c r="D42" s="61"/>
      <c r="E42" s="331">
        <f>E4+E7+E8+E11+E17+E22+E23+E24+E27+E31+E32+E38</f>
        <v>0</v>
      </c>
      <c r="F42" s="332">
        <f t="shared" ref="F42:G42" si="10">F4+F7+F8+F11+F17+F22+F23+F24+F27+F31+F32+F38</f>
        <v>0</v>
      </c>
      <c r="G42" s="333">
        <f t="shared" si="10"/>
        <v>0</v>
      </c>
      <c r="H42" s="654">
        <f t="shared" ref="H42:L42" si="11">H4+H7+H8+H11+H17+H22+H23+H24+H27+H31+H32+H38</f>
        <v>0</v>
      </c>
      <c r="I42" s="654">
        <f t="shared" si="11"/>
        <v>0</v>
      </c>
      <c r="J42" s="654">
        <f t="shared" si="11"/>
        <v>0</v>
      </c>
      <c r="K42" s="654">
        <f t="shared" si="11"/>
        <v>0</v>
      </c>
      <c r="L42" s="655">
        <f t="shared" si="11"/>
        <v>0</v>
      </c>
      <c r="M42" s="656">
        <f>M4+M7+M8+M11+M17+M22+M23+M24+M27+M31+M32+M38</f>
        <v>0</v>
      </c>
    </row>
    <row r="43" spans="1:13" ht="20.25" customHeight="1" x14ac:dyDescent="0.2">
      <c r="A43" s="881"/>
      <c r="B43" s="62" t="s">
        <v>13</v>
      </c>
      <c r="C43" s="61"/>
      <c r="D43" s="61"/>
      <c r="E43" s="331"/>
      <c r="F43" s="332">
        <f t="shared" ref="F43:G43" si="12">E74</f>
        <v>0</v>
      </c>
      <c r="G43" s="333">
        <f t="shared" si="12"/>
        <v>0</v>
      </c>
      <c r="H43" s="654">
        <f t="shared" ref="H43:L43" si="13">G74</f>
        <v>0</v>
      </c>
      <c r="I43" s="332">
        <f t="shared" si="13"/>
        <v>0</v>
      </c>
      <c r="J43" s="332">
        <f t="shared" si="13"/>
        <v>0</v>
      </c>
      <c r="K43" s="332">
        <f t="shared" si="13"/>
        <v>0</v>
      </c>
      <c r="L43" s="657">
        <f t="shared" si="13"/>
        <v>0</v>
      </c>
      <c r="M43" s="656"/>
    </row>
    <row r="44" spans="1:13" ht="20.25" customHeight="1" x14ac:dyDescent="0.2">
      <c r="A44" s="881"/>
      <c r="B44" s="61" t="s">
        <v>2</v>
      </c>
      <c r="C44" s="61"/>
      <c r="D44" s="61"/>
      <c r="E44" s="331">
        <f>E42+E43</f>
        <v>0</v>
      </c>
      <c r="F44" s="332">
        <f t="shared" ref="F44:G44" si="14">F42+F43</f>
        <v>0</v>
      </c>
      <c r="G44" s="333">
        <f t="shared" si="14"/>
        <v>0</v>
      </c>
      <c r="H44" s="654">
        <f t="shared" ref="H44:L44" si="15">H42+H43</f>
        <v>0</v>
      </c>
      <c r="I44" s="332">
        <f t="shared" si="15"/>
        <v>0</v>
      </c>
      <c r="J44" s="332">
        <f t="shared" si="15"/>
        <v>0</v>
      </c>
      <c r="K44" s="332">
        <f t="shared" si="15"/>
        <v>0</v>
      </c>
      <c r="L44" s="657">
        <f t="shared" si="15"/>
        <v>0</v>
      </c>
      <c r="M44" s="656">
        <f>M42+M43</f>
        <v>0</v>
      </c>
    </row>
    <row r="45" spans="1:13" ht="20.25" customHeight="1" x14ac:dyDescent="0.2">
      <c r="A45" s="882" t="s">
        <v>3</v>
      </c>
      <c r="B45" s="60" t="s">
        <v>14</v>
      </c>
      <c r="C45" s="60"/>
      <c r="D45" s="60"/>
      <c r="E45" s="326">
        <f t="shared" ref="E45:G45" si="16">SUM(E46:E51)</f>
        <v>0</v>
      </c>
      <c r="F45" s="327">
        <f t="shared" si="16"/>
        <v>0</v>
      </c>
      <c r="G45" s="328">
        <f t="shared" si="16"/>
        <v>0</v>
      </c>
      <c r="H45" s="355">
        <f t="shared" ref="H45:L45" si="17">SUM(H46:H51)</f>
        <v>0</v>
      </c>
      <c r="I45" s="355">
        <f t="shared" si="17"/>
        <v>0</v>
      </c>
      <c r="J45" s="355">
        <f t="shared" si="17"/>
        <v>0</v>
      </c>
      <c r="K45" s="355">
        <f t="shared" si="17"/>
        <v>0</v>
      </c>
      <c r="L45" s="355">
        <f t="shared" si="17"/>
        <v>0</v>
      </c>
      <c r="M45" s="356">
        <f>SUM(M46:M51)</f>
        <v>0</v>
      </c>
    </row>
    <row r="46" spans="1:13" ht="20.25" customHeight="1" x14ac:dyDescent="0.2">
      <c r="A46" s="883"/>
      <c r="B46" s="60" t="s">
        <v>22</v>
      </c>
      <c r="C46" s="60"/>
      <c r="D46" s="60"/>
      <c r="E46" s="640"/>
      <c r="F46" s="641"/>
      <c r="G46" s="642"/>
      <c r="H46" s="641"/>
      <c r="I46" s="641"/>
      <c r="J46" s="641"/>
      <c r="K46" s="641"/>
      <c r="L46" s="648"/>
      <c r="M46" s="356"/>
    </row>
    <row r="47" spans="1:13" ht="20.25" customHeight="1" x14ac:dyDescent="0.2">
      <c r="A47" s="883"/>
      <c r="B47" s="60" t="s">
        <v>23</v>
      </c>
      <c r="C47" s="60"/>
      <c r="D47" s="60"/>
      <c r="E47" s="640"/>
      <c r="F47" s="641"/>
      <c r="G47" s="642"/>
      <c r="H47" s="641"/>
      <c r="I47" s="641"/>
      <c r="J47" s="641"/>
      <c r="K47" s="641"/>
      <c r="L47" s="648"/>
      <c r="M47" s="356"/>
    </row>
    <row r="48" spans="1:13" ht="20.25" customHeight="1" x14ac:dyDescent="0.2">
      <c r="A48" s="883"/>
      <c r="B48" s="60" t="s">
        <v>24</v>
      </c>
      <c r="C48" s="60"/>
      <c r="D48" s="60"/>
      <c r="E48" s="640"/>
      <c r="F48" s="641"/>
      <c r="G48" s="642"/>
      <c r="H48" s="641"/>
      <c r="I48" s="641"/>
      <c r="J48" s="641"/>
      <c r="K48" s="641"/>
      <c r="L48" s="648"/>
      <c r="M48" s="356"/>
    </row>
    <row r="49" spans="1:13" ht="20.25" customHeight="1" x14ac:dyDescent="0.2">
      <c r="A49" s="883"/>
      <c r="B49" s="60" t="s">
        <v>25</v>
      </c>
      <c r="C49" s="60"/>
      <c r="D49" s="60"/>
      <c r="E49" s="640"/>
      <c r="F49" s="641"/>
      <c r="G49" s="642"/>
      <c r="H49" s="641"/>
      <c r="I49" s="641"/>
      <c r="J49" s="641"/>
      <c r="K49" s="641"/>
      <c r="L49" s="648"/>
      <c r="M49" s="356"/>
    </row>
    <row r="50" spans="1:13" ht="20.25" customHeight="1" x14ac:dyDescent="0.2">
      <c r="A50" s="883"/>
      <c r="B50" s="60" t="s">
        <v>30</v>
      </c>
      <c r="C50" s="60"/>
      <c r="D50" s="60"/>
      <c r="E50" s="640"/>
      <c r="F50" s="641"/>
      <c r="G50" s="642"/>
      <c r="H50" s="236"/>
      <c r="I50" s="236"/>
      <c r="J50" s="236"/>
      <c r="K50" s="236"/>
      <c r="L50" s="650"/>
      <c r="M50" s="651"/>
    </row>
    <row r="51" spans="1:13" ht="20.25" customHeight="1" x14ac:dyDescent="0.2">
      <c r="A51" s="883"/>
      <c r="B51" s="60" t="s">
        <v>26</v>
      </c>
      <c r="C51" s="60"/>
      <c r="D51" s="60"/>
      <c r="E51" s="640"/>
      <c r="F51" s="641"/>
      <c r="G51" s="642"/>
      <c r="H51" s="641"/>
      <c r="I51" s="641"/>
      <c r="J51" s="641"/>
      <c r="K51" s="641"/>
      <c r="L51" s="648"/>
      <c r="M51" s="356"/>
    </row>
    <row r="52" spans="1:13" ht="20.25" customHeight="1" x14ac:dyDescent="0.2">
      <c r="A52" s="883"/>
      <c r="B52" s="59" t="s">
        <v>27</v>
      </c>
      <c r="C52" s="60"/>
      <c r="D52" s="60"/>
      <c r="E52" s="640"/>
      <c r="F52" s="641"/>
      <c r="G52" s="642"/>
      <c r="H52" s="641"/>
      <c r="I52" s="641"/>
      <c r="J52" s="641"/>
      <c r="K52" s="641"/>
      <c r="L52" s="648"/>
      <c r="M52" s="356"/>
    </row>
    <row r="53" spans="1:13" ht="20.25" customHeight="1" x14ac:dyDescent="0.2">
      <c r="A53" s="883"/>
      <c r="B53" s="59" t="s">
        <v>28</v>
      </c>
      <c r="C53" s="60"/>
      <c r="D53" s="60"/>
      <c r="E53" s="640"/>
      <c r="F53" s="641"/>
      <c r="G53" s="642"/>
      <c r="H53" s="641"/>
      <c r="I53" s="641"/>
      <c r="J53" s="641"/>
      <c r="K53" s="641"/>
      <c r="L53" s="648"/>
      <c r="M53" s="356"/>
    </row>
    <row r="54" spans="1:13" ht="20.25" customHeight="1" x14ac:dyDescent="0.2">
      <c r="A54" s="883"/>
      <c r="B54" s="59" t="s">
        <v>15</v>
      </c>
      <c r="C54" s="60"/>
      <c r="D54" s="60"/>
      <c r="E54" s="640"/>
      <c r="F54" s="641"/>
      <c r="G54" s="642"/>
      <c r="H54" s="641"/>
      <c r="I54" s="641"/>
      <c r="J54" s="641"/>
      <c r="K54" s="641"/>
      <c r="L54" s="648"/>
      <c r="M54" s="356"/>
    </row>
    <row r="55" spans="1:13" ht="20.25" customHeight="1" x14ac:dyDescent="0.2">
      <c r="A55" s="883"/>
      <c r="B55" s="59" t="s">
        <v>16</v>
      </c>
      <c r="C55" s="60"/>
      <c r="D55" s="60"/>
      <c r="E55" s="640"/>
      <c r="F55" s="641"/>
      <c r="G55" s="642"/>
      <c r="H55" s="641"/>
      <c r="I55" s="641"/>
      <c r="J55" s="641"/>
      <c r="K55" s="641"/>
      <c r="L55" s="648"/>
      <c r="M55" s="356"/>
    </row>
    <row r="56" spans="1:13" ht="20.25" customHeight="1" x14ac:dyDescent="0.2">
      <c r="A56" s="883"/>
      <c r="B56" s="59" t="s">
        <v>17</v>
      </c>
      <c r="C56" s="60"/>
      <c r="D56" s="60"/>
      <c r="E56" s="640"/>
      <c r="F56" s="641"/>
      <c r="G56" s="642"/>
      <c r="H56" s="641"/>
      <c r="I56" s="641"/>
      <c r="J56" s="641"/>
      <c r="K56" s="641"/>
      <c r="L56" s="648"/>
      <c r="M56" s="356"/>
    </row>
    <row r="57" spans="1:13" ht="20.25" customHeight="1" x14ac:dyDescent="0.2">
      <c r="A57" s="883"/>
      <c r="B57" s="59" t="s">
        <v>0</v>
      </c>
      <c r="C57" s="60"/>
      <c r="D57" s="60"/>
      <c r="E57" s="640"/>
      <c r="F57" s="641"/>
      <c r="G57" s="642"/>
      <c r="H57" s="641"/>
      <c r="I57" s="641"/>
      <c r="J57" s="641"/>
      <c r="K57" s="641"/>
      <c r="L57" s="648"/>
      <c r="M57" s="356"/>
    </row>
    <row r="58" spans="1:13" ht="20.25" customHeight="1" x14ac:dyDescent="0.2">
      <c r="A58" s="883"/>
      <c r="B58" s="59" t="s">
        <v>29</v>
      </c>
      <c r="C58" s="60"/>
      <c r="D58" s="60"/>
      <c r="E58" s="645"/>
      <c r="F58" s="646"/>
      <c r="G58" s="647"/>
      <c r="H58" s="641">
        <f>SUM(H59:H63)</f>
        <v>0</v>
      </c>
      <c r="I58" s="641">
        <f t="shared" ref="I58:L58" si="18">SUM(I59:I63)</f>
        <v>0</v>
      </c>
      <c r="J58" s="641">
        <f t="shared" si="18"/>
        <v>0</v>
      </c>
      <c r="K58" s="641">
        <f t="shared" si="18"/>
        <v>0</v>
      </c>
      <c r="L58" s="641">
        <f t="shared" si="18"/>
        <v>0</v>
      </c>
      <c r="M58" s="651">
        <f>SUM(M59:M63)</f>
        <v>0</v>
      </c>
    </row>
    <row r="59" spans="1:13" ht="20.25" customHeight="1" x14ac:dyDescent="0.2">
      <c r="A59" s="883"/>
      <c r="B59" s="59"/>
      <c r="C59" s="60" t="s">
        <v>310</v>
      </c>
      <c r="D59" s="60"/>
      <c r="E59" s="235"/>
      <c r="F59" s="236"/>
      <c r="G59" s="237"/>
      <c r="H59" s="641"/>
      <c r="I59" s="641"/>
      <c r="J59" s="641"/>
      <c r="K59" s="641"/>
      <c r="L59" s="648"/>
      <c r="M59" s="651"/>
    </row>
    <row r="60" spans="1:13" ht="20.25" customHeight="1" x14ac:dyDescent="0.2">
      <c r="A60" s="883"/>
      <c r="B60" s="59"/>
      <c r="C60" s="60" t="s">
        <v>270</v>
      </c>
      <c r="D60" s="60"/>
      <c r="E60" s="640"/>
      <c r="F60" s="641"/>
      <c r="G60" s="642"/>
      <c r="H60" s="641"/>
      <c r="I60" s="641"/>
      <c r="J60" s="641"/>
      <c r="K60" s="641"/>
      <c r="L60" s="648"/>
      <c r="M60" s="356"/>
    </row>
    <row r="61" spans="1:13" ht="20.25" customHeight="1" x14ac:dyDescent="0.2">
      <c r="A61" s="883"/>
      <c r="B61" s="59"/>
      <c r="C61" s="60" t="s">
        <v>271</v>
      </c>
      <c r="D61" s="60"/>
      <c r="E61" s="645"/>
      <c r="F61" s="646"/>
      <c r="G61" s="647"/>
      <c r="H61" s="641"/>
      <c r="I61" s="641"/>
      <c r="J61" s="641"/>
      <c r="K61" s="641"/>
      <c r="L61" s="648"/>
      <c r="M61" s="356"/>
    </row>
    <row r="62" spans="1:13" ht="20.25" customHeight="1" x14ac:dyDescent="0.2">
      <c r="A62" s="883"/>
      <c r="B62" s="59"/>
      <c r="C62" s="60" t="s">
        <v>272</v>
      </c>
      <c r="D62" s="60"/>
      <c r="E62" s="235"/>
      <c r="F62" s="236"/>
      <c r="G62" s="642"/>
      <c r="H62" s="641"/>
      <c r="I62" s="641"/>
      <c r="J62" s="641"/>
      <c r="K62" s="641"/>
      <c r="L62" s="648"/>
      <c r="M62" s="356"/>
    </row>
    <row r="63" spans="1:13" ht="20.25" customHeight="1" x14ac:dyDescent="0.2">
      <c r="A63" s="883"/>
      <c r="B63" s="59"/>
      <c r="C63" s="60" t="s">
        <v>273</v>
      </c>
      <c r="D63" s="60"/>
      <c r="E63" s="640">
        <f>E58-E59-E60-E61-E62</f>
        <v>0</v>
      </c>
      <c r="F63" s="641">
        <f>F58-F59-F60-F61-F62</f>
        <v>0</v>
      </c>
      <c r="G63" s="642">
        <f>G58-G59-G60-G61-G62</f>
        <v>0</v>
      </c>
      <c r="H63" s="641"/>
      <c r="I63" s="641"/>
      <c r="J63" s="641"/>
      <c r="K63" s="641"/>
      <c r="L63" s="648"/>
      <c r="M63" s="356"/>
    </row>
    <row r="64" spans="1:13" ht="20.25" customHeight="1" x14ac:dyDescent="0.2">
      <c r="A64" s="883"/>
      <c r="B64" s="59" t="s">
        <v>18</v>
      </c>
      <c r="C64" s="60"/>
      <c r="D64" s="60"/>
      <c r="E64" s="235"/>
      <c r="F64" s="236"/>
      <c r="G64" s="237"/>
      <c r="H64" s="355">
        <f>SUM(H65:H68)</f>
        <v>0</v>
      </c>
      <c r="I64" s="355">
        <f t="shared" ref="I64:L64" si="19">SUM(I65:I68)</f>
        <v>0</v>
      </c>
      <c r="J64" s="355">
        <f t="shared" si="19"/>
        <v>0</v>
      </c>
      <c r="K64" s="355">
        <f t="shared" si="19"/>
        <v>0</v>
      </c>
      <c r="L64" s="355">
        <f t="shared" si="19"/>
        <v>0</v>
      </c>
      <c r="M64" s="356">
        <f>SUM(M65:M68)</f>
        <v>0</v>
      </c>
    </row>
    <row r="65" spans="1:13" ht="20.25" customHeight="1" x14ac:dyDescent="0.2">
      <c r="A65" s="883"/>
      <c r="B65" s="65"/>
      <c r="C65" s="59" t="s">
        <v>63</v>
      </c>
      <c r="D65" s="59"/>
      <c r="E65" s="235"/>
      <c r="F65" s="236"/>
      <c r="G65" s="237"/>
      <c r="H65" s="236"/>
      <c r="I65" s="236"/>
      <c r="J65" s="236"/>
      <c r="K65" s="236"/>
      <c r="L65" s="650"/>
      <c r="M65" s="651"/>
    </row>
    <row r="66" spans="1:13" ht="20.25" customHeight="1" x14ac:dyDescent="0.2">
      <c r="A66" s="883"/>
      <c r="B66" s="65"/>
      <c r="C66" s="59" t="s">
        <v>64</v>
      </c>
      <c r="D66" s="59"/>
      <c r="E66" s="235"/>
      <c r="F66" s="236"/>
      <c r="G66" s="237"/>
      <c r="H66" s="236"/>
      <c r="I66" s="236"/>
      <c r="J66" s="236"/>
      <c r="K66" s="236"/>
      <c r="L66" s="650"/>
      <c r="M66" s="651"/>
    </row>
    <row r="67" spans="1:13" ht="20.25" customHeight="1" x14ac:dyDescent="0.2">
      <c r="A67" s="883"/>
      <c r="B67" s="65"/>
      <c r="C67" s="59" t="s">
        <v>66</v>
      </c>
      <c r="D67" s="59"/>
      <c r="E67" s="235"/>
      <c r="F67" s="236"/>
      <c r="G67" s="237"/>
      <c r="H67" s="236"/>
      <c r="I67" s="236"/>
      <c r="J67" s="236"/>
      <c r="K67" s="236"/>
      <c r="L67" s="650"/>
      <c r="M67" s="651"/>
    </row>
    <row r="68" spans="1:13" ht="20.25" customHeight="1" x14ac:dyDescent="0.2">
      <c r="A68" s="883"/>
      <c r="B68" s="65"/>
      <c r="C68" s="59" t="s">
        <v>69</v>
      </c>
      <c r="D68" s="59"/>
      <c r="E68" s="235">
        <f>E64-E65-E66-E67</f>
        <v>0</v>
      </c>
      <c r="F68" s="236">
        <f>F64-F65-F66-F67</f>
        <v>0</v>
      </c>
      <c r="G68" s="237">
        <f>G64-G65-G66-G67</f>
        <v>0</v>
      </c>
      <c r="H68" s="236"/>
      <c r="I68" s="236"/>
      <c r="J68" s="236"/>
      <c r="K68" s="236"/>
      <c r="L68" s="650"/>
      <c r="M68" s="651"/>
    </row>
    <row r="69" spans="1:13" ht="20.25" customHeight="1" x14ac:dyDescent="0.2">
      <c r="A69" s="883"/>
      <c r="B69" s="65" t="s">
        <v>19</v>
      </c>
      <c r="C69" s="59"/>
      <c r="D69" s="59"/>
      <c r="E69" s="235"/>
      <c r="F69" s="236"/>
      <c r="G69" s="237"/>
      <c r="H69" s="649">
        <f>SUM(H70:H72)</f>
        <v>0</v>
      </c>
      <c r="I69" s="649">
        <f>SUM(I70:I72)</f>
        <v>0</v>
      </c>
      <c r="J69" s="649">
        <f t="shared" ref="J69:L69" si="20">SUM(J70:J72)</f>
        <v>0</v>
      </c>
      <c r="K69" s="649">
        <f t="shared" si="20"/>
        <v>0</v>
      </c>
      <c r="L69" s="649">
        <f t="shared" si="20"/>
        <v>0</v>
      </c>
      <c r="M69" s="651">
        <f>SUM(M70:M72)</f>
        <v>0</v>
      </c>
    </row>
    <row r="70" spans="1:13" ht="20.25" customHeight="1" x14ac:dyDescent="0.2">
      <c r="A70" s="883"/>
      <c r="B70" s="65"/>
      <c r="C70" s="59" t="s">
        <v>65</v>
      </c>
      <c r="D70" s="59"/>
      <c r="E70" s="235"/>
      <c r="F70" s="236"/>
      <c r="G70" s="643"/>
      <c r="H70" s="236"/>
      <c r="I70" s="236"/>
      <c r="J70" s="236"/>
      <c r="K70" s="236"/>
      <c r="L70" s="650"/>
      <c r="M70" s="651"/>
    </row>
    <row r="71" spans="1:13" ht="20.25" customHeight="1" x14ac:dyDescent="0.2">
      <c r="A71" s="883"/>
      <c r="B71" s="65"/>
      <c r="C71" s="59" t="s">
        <v>67</v>
      </c>
      <c r="D71" s="59"/>
      <c r="E71" s="235"/>
      <c r="F71" s="236"/>
      <c r="G71" s="643"/>
      <c r="H71" s="236"/>
      <c r="I71" s="236"/>
      <c r="J71" s="236"/>
      <c r="K71" s="236"/>
      <c r="L71" s="650"/>
      <c r="M71" s="651"/>
    </row>
    <row r="72" spans="1:13" ht="20.25" customHeight="1" x14ac:dyDescent="0.2">
      <c r="A72" s="883"/>
      <c r="B72" s="66"/>
      <c r="C72" s="267" t="s">
        <v>70</v>
      </c>
      <c r="D72" s="267"/>
      <c r="E72" s="235">
        <f>E69-E70-E71</f>
        <v>0</v>
      </c>
      <c r="F72" s="236">
        <f>F69-F70-F71</f>
        <v>0</v>
      </c>
      <c r="G72" s="643">
        <f>G69-G70-G71</f>
        <v>0</v>
      </c>
      <c r="H72" s="236"/>
      <c r="I72" s="236"/>
      <c r="J72" s="236"/>
      <c r="K72" s="236"/>
      <c r="L72" s="650"/>
      <c r="M72" s="651"/>
    </row>
    <row r="73" spans="1:13" ht="20.25" customHeight="1" x14ac:dyDescent="0.2">
      <c r="A73" s="883"/>
      <c r="B73" s="62" t="s">
        <v>51</v>
      </c>
      <c r="C73" s="61"/>
      <c r="D73" s="61"/>
      <c r="E73" s="331">
        <f>E45+E52+E53+E54+E55+E56+E57+E58+E64+E69</f>
        <v>0</v>
      </c>
      <c r="F73" s="332">
        <f t="shared" ref="F73:G73" si="21">F45+F52+F53+F54+F55+F56+F57+F58+F64+F69</f>
        <v>0</v>
      </c>
      <c r="G73" s="333">
        <f t="shared" si="21"/>
        <v>0</v>
      </c>
      <c r="H73" s="331">
        <f>H45+H52+H53+H54+H55+H56+H57+H58+H64+H69</f>
        <v>0</v>
      </c>
      <c r="I73" s="332">
        <f t="shared" ref="I73:L73" si="22">I45+I52+I53+I54+I55+I56+I57+I58+I64+I69</f>
        <v>0</v>
      </c>
      <c r="J73" s="332">
        <f t="shared" si="22"/>
        <v>0</v>
      </c>
      <c r="K73" s="332">
        <f t="shared" si="22"/>
        <v>0</v>
      </c>
      <c r="L73" s="658">
        <f t="shared" si="22"/>
        <v>0</v>
      </c>
      <c r="M73" s="656">
        <f>M45+M52+M53+M54+M55+M56+M57+M58+M64+M69</f>
        <v>0</v>
      </c>
    </row>
    <row r="74" spans="1:13" ht="20.25" customHeight="1" x14ac:dyDescent="0.2">
      <c r="A74" s="883"/>
      <c r="B74" s="62" t="s">
        <v>410</v>
      </c>
      <c r="C74" s="61"/>
      <c r="D74" s="61"/>
      <c r="E74" s="331">
        <f t="shared" ref="E74:G74" si="23">E44-E73</f>
        <v>0</v>
      </c>
      <c r="F74" s="332">
        <f t="shared" si="23"/>
        <v>0</v>
      </c>
      <c r="G74" s="333">
        <f t="shared" si="23"/>
        <v>0</v>
      </c>
      <c r="H74" s="654">
        <f t="shared" ref="H74:L74" si="24">H44-H73</f>
        <v>0</v>
      </c>
      <c r="I74" s="332">
        <f t="shared" si="24"/>
        <v>0</v>
      </c>
      <c r="J74" s="332">
        <f t="shared" si="24"/>
        <v>0</v>
      </c>
      <c r="K74" s="332">
        <f t="shared" si="24"/>
        <v>0</v>
      </c>
      <c r="L74" s="657">
        <f t="shared" si="24"/>
        <v>0</v>
      </c>
      <c r="M74" s="656">
        <f>M44-M73</f>
        <v>0</v>
      </c>
    </row>
    <row r="75" spans="1:13" ht="20.25" customHeight="1" x14ac:dyDescent="0.2">
      <c r="A75" s="884"/>
      <c r="B75" s="62" t="s">
        <v>4</v>
      </c>
      <c r="C75" s="61"/>
      <c r="D75" s="61"/>
      <c r="E75" s="331">
        <f t="shared" ref="E75:G75" si="25">E73+E74</f>
        <v>0</v>
      </c>
      <c r="F75" s="332">
        <f t="shared" si="25"/>
        <v>0</v>
      </c>
      <c r="G75" s="333">
        <f t="shared" si="25"/>
        <v>0</v>
      </c>
      <c r="H75" s="654">
        <f t="shared" ref="H75:L75" si="26">H73+H74</f>
        <v>0</v>
      </c>
      <c r="I75" s="332">
        <f t="shared" si="26"/>
        <v>0</v>
      </c>
      <c r="J75" s="332">
        <f t="shared" si="26"/>
        <v>0</v>
      </c>
      <c r="K75" s="332">
        <f t="shared" si="26"/>
        <v>0</v>
      </c>
      <c r="L75" s="657">
        <f t="shared" si="26"/>
        <v>0</v>
      </c>
      <c r="M75" s="656">
        <f>M73+M74</f>
        <v>0</v>
      </c>
    </row>
    <row r="76" spans="1:13" ht="20.25" customHeight="1" thickBot="1" x14ac:dyDescent="0.25">
      <c r="A76" s="257"/>
      <c r="B76" s="63" t="s">
        <v>52</v>
      </c>
      <c r="C76" s="63"/>
      <c r="D76" s="63"/>
      <c r="E76" s="331">
        <f t="shared" ref="E76:L76" si="27">E42-E73</f>
        <v>0</v>
      </c>
      <c r="F76" s="332">
        <f t="shared" si="27"/>
        <v>0</v>
      </c>
      <c r="G76" s="333">
        <f t="shared" si="27"/>
        <v>0</v>
      </c>
      <c r="H76" s="332">
        <f t="shared" si="27"/>
        <v>0</v>
      </c>
      <c r="I76" s="332">
        <f t="shared" si="27"/>
        <v>0</v>
      </c>
      <c r="J76" s="332">
        <f t="shared" si="27"/>
        <v>0</v>
      </c>
      <c r="K76" s="332">
        <f t="shared" si="27"/>
        <v>0</v>
      </c>
      <c r="L76" s="657">
        <f t="shared" si="27"/>
        <v>0</v>
      </c>
      <c r="M76" s="794">
        <f>M42-M73</f>
        <v>0</v>
      </c>
    </row>
    <row r="77" spans="1:13" ht="24.75" customHeight="1" x14ac:dyDescent="0.2"/>
  </sheetData>
  <mergeCells count="5">
    <mergeCell ref="L1:M1"/>
    <mergeCell ref="A4:A44"/>
    <mergeCell ref="A45:A75"/>
    <mergeCell ref="A3:D3"/>
    <mergeCell ref="C16:D16"/>
  </mergeCells>
  <phoneticPr fontId="2"/>
  <conditionalFormatting sqref="H3:M3">
    <cfRule type="cellIs" dxfId="812" priority="162" stopIfTrue="1" operator="between">
      <formula>"実績"</formula>
      <formula>"実績"</formula>
    </cfRule>
    <cfRule type="cellIs" dxfId="811" priority="163" stopIfTrue="1" operator="between">
      <formula>"見込"</formula>
      <formula>"見込"</formula>
    </cfRule>
  </conditionalFormatting>
  <pageMargins left="0.53" right="0.3" top="0.37" bottom="0.31" header="0.3" footer="0.17"/>
  <pageSetup paperSize="9" scale="51" orientation="portrait" r:id="rId1"/>
  <headerFooter alignWithMargins="0">
    <oddHeader xml:space="preserve">&amp;R
</oddHeader>
    <oddFooter>&amp;C&amp;P</oddFooter>
  </headerFooter>
  <rowBreaks count="1" manualBreakCount="1">
    <brk id="76" max="16383" man="1"/>
  </rowBreaks>
  <extLst>
    <ext xmlns:x14="http://schemas.microsoft.com/office/spreadsheetml/2009/9/main" uri="{78C0D931-6437-407d-A8EE-F0AAD7539E65}">
      <x14:conditionalFormattings>
        <x14:conditionalFormatting xmlns:xm="http://schemas.microsoft.com/office/excel/2006/main">
          <x14:cfRule type="expression" priority="129" id="{7F33391E-BB4B-4678-BD50-76C93BD4ABAD}">
            <xm:f>入力!$B$14-3&lt;27</xm:f>
            <x14:dxf>
              <fill>
                <patternFill patternType="mediumGray"/>
              </fill>
            </x14:dxf>
          </x14:cfRule>
          <xm:sqref>E18</xm:sqref>
        </x14:conditionalFormatting>
        <x14:conditionalFormatting xmlns:xm="http://schemas.microsoft.com/office/excel/2006/main">
          <x14:cfRule type="expression" priority="128" id="{87410602-2361-40BE-9322-9FF038EDAA9D}">
            <xm:f>入力!$B$14-2&lt;27</xm:f>
            <x14:dxf>
              <fill>
                <patternFill patternType="mediumGray"/>
              </fill>
            </x14:dxf>
          </x14:cfRule>
          <xm:sqref>F18</xm:sqref>
        </x14:conditionalFormatting>
        <x14:conditionalFormatting xmlns:xm="http://schemas.microsoft.com/office/excel/2006/main">
          <x14:cfRule type="expression" priority="127" id="{844B028D-7621-48A6-A4C7-7A56C87BCF31}">
            <xm:f>入力!$B$14-1&lt;27</xm:f>
            <x14:dxf>
              <fill>
                <patternFill patternType="mediumGray"/>
              </fill>
            </x14:dxf>
          </x14:cfRule>
          <xm:sqref>G18</xm:sqref>
        </x14:conditionalFormatting>
        <x14:conditionalFormatting xmlns:xm="http://schemas.microsoft.com/office/excel/2006/main">
          <x14:cfRule type="expression" priority="126" id="{26167DA9-4F2C-4E86-9844-4DAD00C42F6A}">
            <xm:f>入力!$B$14&lt;27</xm:f>
            <x14:dxf>
              <fill>
                <patternFill patternType="mediumGray"/>
              </fill>
            </x14:dxf>
          </x14:cfRule>
          <xm:sqref>H18</xm:sqref>
        </x14:conditionalFormatting>
        <x14:conditionalFormatting xmlns:xm="http://schemas.microsoft.com/office/excel/2006/main">
          <x14:cfRule type="expression" priority="125" id="{9C4BC3B6-D7BB-4F23-BB60-2AEEC1821798}">
            <xm:f>入力!$B$14+1&lt;27</xm:f>
            <x14:dxf>
              <fill>
                <patternFill patternType="mediumGray"/>
              </fill>
            </x14:dxf>
          </x14:cfRule>
          <xm:sqref>I18</xm:sqref>
        </x14:conditionalFormatting>
        <x14:conditionalFormatting xmlns:xm="http://schemas.microsoft.com/office/excel/2006/main">
          <x14:cfRule type="expression" priority="124" id="{89818536-35D6-40F5-89BB-B920785755BA}">
            <xm:f>入力!$B$14+2&lt;27</xm:f>
            <x14:dxf>
              <fill>
                <patternFill patternType="mediumGray"/>
              </fill>
            </x14:dxf>
          </x14:cfRule>
          <xm:sqref>J18</xm:sqref>
        </x14:conditionalFormatting>
        <x14:conditionalFormatting xmlns:xm="http://schemas.microsoft.com/office/excel/2006/main">
          <x14:cfRule type="expression" priority="123" id="{3A501F4B-7519-4771-911D-D72237294220}">
            <xm:f>入力!$B$14+3&lt;27</xm:f>
            <x14:dxf>
              <fill>
                <patternFill patternType="mediumGray"/>
              </fill>
            </x14:dxf>
          </x14:cfRule>
          <xm:sqref>K18</xm:sqref>
        </x14:conditionalFormatting>
        <x14:conditionalFormatting xmlns:xm="http://schemas.microsoft.com/office/excel/2006/main">
          <x14:cfRule type="expression" priority="122" id="{149021F0-A7F1-447A-BF5B-0C2528910009}">
            <xm:f>入力!$B$14+4&lt;27</xm:f>
            <x14:dxf>
              <fill>
                <patternFill patternType="mediumGray"/>
              </fill>
            </x14:dxf>
          </x14:cfRule>
          <xm:sqref>L18</xm:sqref>
        </x14:conditionalFormatting>
        <x14:conditionalFormatting xmlns:xm="http://schemas.microsoft.com/office/excel/2006/main">
          <x14:cfRule type="expression" priority="120" id="{30183852-3201-4D89-933A-6DEA39C88B3C}">
            <xm:f>入力!$B$14-3&lt;27</xm:f>
            <x14:dxf>
              <fill>
                <patternFill patternType="mediumGray"/>
              </fill>
            </x14:dxf>
          </x14:cfRule>
          <xm:sqref>E19</xm:sqref>
        </x14:conditionalFormatting>
        <x14:conditionalFormatting xmlns:xm="http://schemas.microsoft.com/office/excel/2006/main">
          <x14:cfRule type="expression" priority="119" id="{30FCFE1E-4582-4532-B32F-638CE51D712F}">
            <xm:f>入力!$B$14-2&lt;27</xm:f>
            <x14:dxf>
              <fill>
                <patternFill patternType="mediumGray"/>
              </fill>
            </x14:dxf>
          </x14:cfRule>
          <xm:sqref>F19</xm:sqref>
        </x14:conditionalFormatting>
        <x14:conditionalFormatting xmlns:xm="http://schemas.microsoft.com/office/excel/2006/main">
          <x14:cfRule type="expression" priority="118" id="{0C5000F4-E000-4811-AF2E-7E6A44C2B4D3}">
            <xm:f>入力!$B$14-1&lt;27</xm:f>
            <x14:dxf>
              <fill>
                <patternFill patternType="mediumGray"/>
              </fill>
            </x14:dxf>
          </x14:cfRule>
          <xm:sqref>G19</xm:sqref>
        </x14:conditionalFormatting>
        <x14:conditionalFormatting xmlns:xm="http://schemas.microsoft.com/office/excel/2006/main">
          <x14:cfRule type="expression" priority="117" id="{AF61F96B-62D7-4127-A4A3-D7275A1D9E19}">
            <xm:f>入力!$B$14&lt;27</xm:f>
            <x14:dxf>
              <fill>
                <patternFill patternType="mediumGray"/>
              </fill>
            </x14:dxf>
          </x14:cfRule>
          <xm:sqref>H19</xm:sqref>
        </x14:conditionalFormatting>
        <x14:conditionalFormatting xmlns:xm="http://schemas.microsoft.com/office/excel/2006/main">
          <x14:cfRule type="expression" priority="116" id="{6D3C67E5-186E-4268-9C52-F452DE24E2E2}">
            <xm:f>入力!$B$14+1&lt;27</xm:f>
            <x14:dxf>
              <fill>
                <patternFill patternType="mediumGray"/>
              </fill>
            </x14:dxf>
          </x14:cfRule>
          <xm:sqref>I19</xm:sqref>
        </x14:conditionalFormatting>
        <x14:conditionalFormatting xmlns:xm="http://schemas.microsoft.com/office/excel/2006/main">
          <x14:cfRule type="expression" priority="115" id="{612B3C7C-CB2A-436F-A7A9-215868FAA42F}">
            <xm:f>入力!$B$14+2&lt;27</xm:f>
            <x14:dxf>
              <fill>
                <patternFill patternType="mediumGray"/>
              </fill>
            </x14:dxf>
          </x14:cfRule>
          <xm:sqref>J19</xm:sqref>
        </x14:conditionalFormatting>
        <x14:conditionalFormatting xmlns:xm="http://schemas.microsoft.com/office/excel/2006/main">
          <x14:cfRule type="expression" priority="114" id="{FD252A09-C0CE-4CA5-89B8-59035BEDB88C}">
            <xm:f>入力!$B$14+3&lt;27</xm:f>
            <x14:dxf>
              <fill>
                <patternFill patternType="mediumGray"/>
              </fill>
            </x14:dxf>
          </x14:cfRule>
          <xm:sqref>K19</xm:sqref>
        </x14:conditionalFormatting>
        <x14:conditionalFormatting xmlns:xm="http://schemas.microsoft.com/office/excel/2006/main">
          <x14:cfRule type="expression" priority="113" id="{53280A0D-85C8-4957-97E6-A91051967CCD}">
            <xm:f>入力!$B$14+4&lt;27</xm:f>
            <x14:dxf>
              <fill>
                <patternFill patternType="mediumGray"/>
              </fill>
            </x14:dxf>
          </x14:cfRule>
          <xm:sqref>L19</xm:sqref>
        </x14:conditionalFormatting>
        <x14:conditionalFormatting xmlns:xm="http://schemas.microsoft.com/office/excel/2006/main">
          <x14:cfRule type="expression" priority="102" id="{9ABA680F-BA05-4D2B-9D26-92DF5B87AC78}">
            <xm:f>入力!$B$14-3&lt;27</xm:f>
            <x14:dxf>
              <fill>
                <patternFill patternType="mediumGray"/>
              </fill>
            </x14:dxf>
          </x14:cfRule>
          <xm:sqref>E22:E23</xm:sqref>
        </x14:conditionalFormatting>
        <x14:conditionalFormatting xmlns:xm="http://schemas.microsoft.com/office/excel/2006/main">
          <x14:cfRule type="expression" priority="101" id="{0631858B-D699-4C04-9681-49E065CB55BC}">
            <xm:f>入力!$B$14-2&lt;27</xm:f>
            <x14:dxf>
              <fill>
                <patternFill patternType="mediumGray"/>
              </fill>
            </x14:dxf>
          </x14:cfRule>
          <xm:sqref>F22:F23</xm:sqref>
        </x14:conditionalFormatting>
        <x14:conditionalFormatting xmlns:xm="http://schemas.microsoft.com/office/excel/2006/main">
          <x14:cfRule type="expression" priority="100" id="{15584A1E-C348-40E7-BB48-B218CC4ADCE1}">
            <xm:f>入力!$B$14-1&lt;27</xm:f>
            <x14:dxf>
              <fill>
                <patternFill patternType="mediumGray"/>
              </fill>
            </x14:dxf>
          </x14:cfRule>
          <xm:sqref>G22:G23</xm:sqref>
        </x14:conditionalFormatting>
        <x14:conditionalFormatting xmlns:xm="http://schemas.microsoft.com/office/excel/2006/main">
          <x14:cfRule type="expression" priority="99" id="{8FC4E2F6-5B8B-486A-A2B7-30735D9B22DC}">
            <xm:f>入力!$B$14&lt;27</xm:f>
            <x14:dxf>
              <fill>
                <patternFill patternType="mediumGray"/>
              </fill>
            </x14:dxf>
          </x14:cfRule>
          <xm:sqref>H22:H23</xm:sqref>
        </x14:conditionalFormatting>
        <x14:conditionalFormatting xmlns:xm="http://schemas.microsoft.com/office/excel/2006/main">
          <x14:cfRule type="expression" priority="98" id="{3AE329C7-6DA4-41D8-B17B-40803C819EF5}">
            <xm:f>入力!$B$14+1&lt;27</xm:f>
            <x14:dxf>
              <fill>
                <patternFill patternType="mediumGray"/>
              </fill>
            </x14:dxf>
          </x14:cfRule>
          <xm:sqref>I22:I23</xm:sqref>
        </x14:conditionalFormatting>
        <x14:conditionalFormatting xmlns:xm="http://schemas.microsoft.com/office/excel/2006/main">
          <x14:cfRule type="expression" priority="97" id="{AEB433E2-D54D-452C-8A13-7FBB64D13F42}">
            <xm:f>入力!$B$14+2&lt;27</xm:f>
            <x14:dxf>
              <fill>
                <patternFill patternType="mediumGray"/>
              </fill>
            </x14:dxf>
          </x14:cfRule>
          <xm:sqref>J22:J23</xm:sqref>
        </x14:conditionalFormatting>
        <x14:conditionalFormatting xmlns:xm="http://schemas.microsoft.com/office/excel/2006/main">
          <x14:cfRule type="expression" priority="96" id="{0CAADA58-A030-4EAD-94AA-1088307E6AD8}">
            <xm:f>入力!$B$14+3&lt;27</xm:f>
            <x14:dxf>
              <fill>
                <patternFill patternType="mediumGray"/>
              </fill>
            </x14:dxf>
          </x14:cfRule>
          <xm:sqref>K22:K23</xm:sqref>
        </x14:conditionalFormatting>
        <x14:conditionalFormatting xmlns:xm="http://schemas.microsoft.com/office/excel/2006/main">
          <x14:cfRule type="expression" priority="95" id="{7ABA58DE-DDE2-4577-89EE-ADAB27CE57F4}">
            <xm:f>入力!$B$14+4&lt;27</xm:f>
            <x14:dxf>
              <fill>
                <patternFill patternType="mediumGray"/>
              </fill>
            </x14:dxf>
          </x14:cfRule>
          <xm:sqref>L22:L23</xm:sqref>
        </x14:conditionalFormatting>
        <x14:conditionalFormatting xmlns:xm="http://schemas.microsoft.com/office/excel/2006/main">
          <x14:cfRule type="expression" priority="93" id="{F4EB84B3-15FB-456B-AA7C-A561A5C86018}">
            <xm:f>入力!$B$14-3&lt;27</xm:f>
            <x14:dxf>
              <fill>
                <patternFill patternType="mediumGray"/>
              </fill>
            </x14:dxf>
          </x14:cfRule>
          <xm:sqref>E33</xm:sqref>
        </x14:conditionalFormatting>
        <x14:conditionalFormatting xmlns:xm="http://schemas.microsoft.com/office/excel/2006/main">
          <x14:cfRule type="expression" priority="92" id="{D9059E1C-B776-49BC-BFB7-B74A53D6136F}">
            <xm:f>入力!$B$14-2&lt;27</xm:f>
            <x14:dxf>
              <fill>
                <patternFill patternType="mediumGray"/>
              </fill>
            </x14:dxf>
          </x14:cfRule>
          <xm:sqref>F33</xm:sqref>
        </x14:conditionalFormatting>
        <x14:conditionalFormatting xmlns:xm="http://schemas.microsoft.com/office/excel/2006/main">
          <x14:cfRule type="expression" priority="91" id="{EBC5C237-929C-4F21-B51E-04C7BBCC43A8}">
            <xm:f>入力!$B$14-1&lt;27</xm:f>
            <x14:dxf>
              <fill>
                <patternFill patternType="mediumGray"/>
              </fill>
            </x14:dxf>
          </x14:cfRule>
          <xm:sqref>G33</xm:sqref>
        </x14:conditionalFormatting>
        <x14:conditionalFormatting xmlns:xm="http://schemas.microsoft.com/office/excel/2006/main">
          <x14:cfRule type="expression" priority="90" id="{CFD4DC15-9F99-4DF8-905F-C16C27754C22}">
            <xm:f>入力!$B$14&lt;27</xm:f>
            <x14:dxf>
              <fill>
                <patternFill patternType="mediumGray"/>
              </fill>
            </x14:dxf>
          </x14:cfRule>
          <xm:sqref>H33</xm:sqref>
        </x14:conditionalFormatting>
        <x14:conditionalFormatting xmlns:xm="http://schemas.microsoft.com/office/excel/2006/main">
          <x14:cfRule type="expression" priority="89" id="{D1FFD5EE-0EBD-4052-9341-B4E144E1A40D}">
            <xm:f>入力!$B$14+1&lt;27</xm:f>
            <x14:dxf>
              <fill>
                <patternFill patternType="mediumGray"/>
              </fill>
            </x14:dxf>
          </x14:cfRule>
          <xm:sqref>I33</xm:sqref>
        </x14:conditionalFormatting>
        <x14:conditionalFormatting xmlns:xm="http://schemas.microsoft.com/office/excel/2006/main">
          <x14:cfRule type="expression" priority="88" id="{8B18395D-EFB3-43E4-9B58-11357201924D}">
            <xm:f>入力!$B$14+2&lt;27</xm:f>
            <x14:dxf>
              <fill>
                <patternFill patternType="mediumGray"/>
              </fill>
            </x14:dxf>
          </x14:cfRule>
          <xm:sqref>J33</xm:sqref>
        </x14:conditionalFormatting>
        <x14:conditionalFormatting xmlns:xm="http://schemas.microsoft.com/office/excel/2006/main">
          <x14:cfRule type="expression" priority="87" id="{95D56566-951A-494A-9F0C-9191EE501758}">
            <xm:f>入力!$B$14+3&lt;27</xm:f>
            <x14:dxf>
              <fill>
                <patternFill patternType="mediumGray"/>
              </fill>
            </x14:dxf>
          </x14:cfRule>
          <xm:sqref>K33</xm:sqref>
        </x14:conditionalFormatting>
        <x14:conditionalFormatting xmlns:xm="http://schemas.microsoft.com/office/excel/2006/main">
          <x14:cfRule type="expression" priority="86" id="{B9684C91-04AC-4F7C-B803-AA06265D4B60}">
            <xm:f>入力!$B$14+4&lt;27</xm:f>
            <x14:dxf>
              <fill>
                <patternFill patternType="mediumGray"/>
              </fill>
            </x14:dxf>
          </x14:cfRule>
          <xm:sqref>L33</xm:sqref>
        </x14:conditionalFormatting>
        <x14:conditionalFormatting xmlns:xm="http://schemas.microsoft.com/office/excel/2006/main">
          <x14:cfRule type="expression" priority="84" id="{039D6A7D-83A5-43F5-AD34-455DF0C74099}">
            <xm:f>入力!$B$14-3&lt;27</xm:f>
            <x14:dxf>
              <fill>
                <patternFill patternType="mediumGray"/>
              </fill>
            </x14:dxf>
          </x14:cfRule>
          <xm:sqref>E34</xm:sqref>
        </x14:conditionalFormatting>
        <x14:conditionalFormatting xmlns:xm="http://schemas.microsoft.com/office/excel/2006/main">
          <x14:cfRule type="expression" priority="83" id="{817D56B8-0787-454C-B3E9-FB2391CB64C3}">
            <xm:f>入力!$B$14-2&lt;27</xm:f>
            <x14:dxf>
              <fill>
                <patternFill patternType="mediumGray"/>
              </fill>
            </x14:dxf>
          </x14:cfRule>
          <xm:sqref>F34</xm:sqref>
        </x14:conditionalFormatting>
        <x14:conditionalFormatting xmlns:xm="http://schemas.microsoft.com/office/excel/2006/main">
          <x14:cfRule type="expression" priority="82" id="{50636597-D523-46FC-BEBB-441DBA329FC7}">
            <xm:f>入力!$B$14-1&lt;27</xm:f>
            <x14:dxf>
              <fill>
                <patternFill patternType="mediumGray"/>
              </fill>
            </x14:dxf>
          </x14:cfRule>
          <xm:sqref>G34</xm:sqref>
        </x14:conditionalFormatting>
        <x14:conditionalFormatting xmlns:xm="http://schemas.microsoft.com/office/excel/2006/main">
          <x14:cfRule type="expression" priority="81" id="{B632AB7B-324D-4185-91B9-451F096BBCC0}">
            <xm:f>入力!$B$14&lt;27</xm:f>
            <x14:dxf>
              <fill>
                <patternFill patternType="mediumGray"/>
              </fill>
            </x14:dxf>
          </x14:cfRule>
          <xm:sqref>H34</xm:sqref>
        </x14:conditionalFormatting>
        <x14:conditionalFormatting xmlns:xm="http://schemas.microsoft.com/office/excel/2006/main">
          <x14:cfRule type="expression" priority="80" id="{1BCAFDB2-CDC3-4F51-8265-B5CBEAD4615A}">
            <xm:f>入力!$B$14+1&lt;27</xm:f>
            <x14:dxf>
              <fill>
                <patternFill patternType="mediumGray"/>
              </fill>
            </x14:dxf>
          </x14:cfRule>
          <xm:sqref>I34</xm:sqref>
        </x14:conditionalFormatting>
        <x14:conditionalFormatting xmlns:xm="http://schemas.microsoft.com/office/excel/2006/main">
          <x14:cfRule type="expression" priority="79" id="{25F17E65-9B2A-4C52-82C0-FA414879EA62}">
            <xm:f>入力!$B$14+2&lt;27</xm:f>
            <x14:dxf>
              <fill>
                <patternFill patternType="mediumGray"/>
              </fill>
            </x14:dxf>
          </x14:cfRule>
          <xm:sqref>J34</xm:sqref>
        </x14:conditionalFormatting>
        <x14:conditionalFormatting xmlns:xm="http://schemas.microsoft.com/office/excel/2006/main">
          <x14:cfRule type="expression" priority="78" id="{4C68B574-70EC-4E0D-B439-B51D25D789AE}">
            <xm:f>入力!$B$14+3&lt;27</xm:f>
            <x14:dxf>
              <fill>
                <patternFill patternType="mediumGray"/>
              </fill>
            </x14:dxf>
          </x14:cfRule>
          <xm:sqref>K34</xm:sqref>
        </x14:conditionalFormatting>
        <x14:conditionalFormatting xmlns:xm="http://schemas.microsoft.com/office/excel/2006/main">
          <x14:cfRule type="expression" priority="77" id="{1C42891B-B4F7-423F-B69D-2675BF514F68}">
            <xm:f>入力!$B$14+4&lt;27</xm:f>
            <x14:dxf>
              <fill>
                <patternFill patternType="mediumGray"/>
              </fill>
            </x14:dxf>
          </x14:cfRule>
          <xm:sqref>L34</xm:sqref>
        </x14:conditionalFormatting>
        <x14:conditionalFormatting xmlns:xm="http://schemas.microsoft.com/office/excel/2006/main">
          <x14:cfRule type="expression" priority="75" id="{77F4101D-D2B0-4E56-A5FE-95AF5BF5C61D}">
            <xm:f>入力!$B$14-3&lt;27</xm:f>
            <x14:dxf>
              <fill>
                <patternFill patternType="mediumGray"/>
              </fill>
            </x14:dxf>
          </x14:cfRule>
          <xm:sqref>E35</xm:sqref>
        </x14:conditionalFormatting>
        <x14:conditionalFormatting xmlns:xm="http://schemas.microsoft.com/office/excel/2006/main">
          <x14:cfRule type="expression" priority="74" id="{20F2BC0C-2586-4F37-B4EC-AD060A1DAD50}">
            <xm:f>入力!$B$14-2&lt;27</xm:f>
            <x14:dxf>
              <fill>
                <patternFill patternType="mediumGray"/>
              </fill>
            </x14:dxf>
          </x14:cfRule>
          <xm:sqref>F35</xm:sqref>
        </x14:conditionalFormatting>
        <x14:conditionalFormatting xmlns:xm="http://schemas.microsoft.com/office/excel/2006/main">
          <x14:cfRule type="expression" priority="73" id="{00D6C210-0963-4C9A-A89A-4FCE23697DCD}">
            <xm:f>入力!$B$14-1&lt;27</xm:f>
            <x14:dxf>
              <fill>
                <patternFill patternType="mediumGray"/>
              </fill>
            </x14:dxf>
          </x14:cfRule>
          <xm:sqref>G35</xm:sqref>
        </x14:conditionalFormatting>
        <x14:conditionalFormatting xmlns:xm="http://schemas.microsoft.com/office/excel/2006/main">
          <x14:cfRule type="expression" priority="72" id="{56097089-67A4-41FA-9C43-622AA2BFD22C}">
            <xm:f>入力!$B$14&lt;27</xm:f>
            <x14:dxf>
              <fill>
                <patternFill patternType="mediumGray"/>
              </fill>
            </x14:dxf>
          </x14:cfRule>
          <xm:sqref>H35</xm:sqref>
        </x14:conditionalFormatting>
        <x14:conditionalFormatting xmlns:xm="http://schemas.microsoft.com/office/excel/2006/main">
          <x14:cfRule type="expression" priority="71" id="{6C676B5F-B7B6-432D-8971-7CE4DE99951C}">
            <xm:f>入力!$B$14+1&lt;27</xm:f>
            <x14:dxf>
              <fill>
                <patternFill patternType="mediumGray"/>
              </fill>
            </x14:dxf>
          </x14:cfRule>
          <xm:sqref>I35</xm:sqref>
        </x14:conditionalFormatting>
        <x14:conditionalFormatting xmlns:xm="http://schemas.microsoft.com/office/excel/2006/main">
          <x14:cfRule type="expression" priority="70" id="{4CA17CE5-AEB1-426B-885E-177FABD33169}">
            <xm:f>入力!$B$14+2&lt;27</xm:f>
            <x14:dxf>
              <fill>
                <patternFill patternType="mediumGray"/>
              </fill>
            </x14:dxf>
          </x14:cfRule>
          <xm:sqref>J35</xm:sqref>
        </x14:conditionalFormatting>
        <x14:conditionalFormatting xmlns:xm="http://schemas.microsoft.com/office/excel/2006/main">
          <x14:cfRule type="expression" priority="69" id="{FF76474C-6D32-4CAC-9E61-0700CC802279}">
            <xm:f>入力!$B$14+3&lt;27</xm:f>
            <x14:dxf>
              <fill>
                <patternFill patternType="mediumGray"/>
              </fill>
            </x14:dxf>
          </x14:cfRule>
          <xm:sqref>K35</xm:sqref>
        </x14:conditionalFormatting>
        <x14:conditionalFormatting xmlns:xm="http://schemas.microsoft.com/office/excel/2006/main">
          <x14:cfRule type="expression" priority="68" id="{CC6E7795-0293-4F68-A00E-37BB0FDA209C}">
            <xm:f>入力!$B$14+4&lt;27</xm:f>
            <x14:dxf>
              <fill>
                <patternFill patternType="mediumGray"/>
              </fill>
            </x14:dxf>
          </x14:cfRule>
          <xm:sqref>L35</xm:sqref>
        </x14:conditionalFormatting>
        <x14:conditionalFormatting xmlns:xm="http://schemas.microsoft.com/office/excel/2006/main">
          <x14:cfRule type="expression" priority="57" id="{8239317D-C7DE-4962-9297-F50F3A21BE03}">
            <xm:f>入力!$B$14-3&lt;27</xm:f>
            <x14:dxf>
              <fill>
                <patternFill patternType="mediumGray"/>
              </fill>
            </x14:dxf>
          </x14:cfRule>
          <xm:sqref>E60</xm:sqref>
        </x14:conditionalFormatting>
        <x14:conditionalFormatting xmlns:xm="http://schemas.microsoft.com/office/excel/2006/main">
          <x14:cfRule type="expression" priority="56" id="{0FC81119-25F6-43B5-92E6-B154415F4EDD}">
            <xm:f>入力!$B$14-2&lt;27</xm:f>
            <x14:dxf>
              <fill>
                <patternFill patternType="mediumGray"/>
              </fill>
            </x14:dxf>
          </x14:cfRule>
          <xm:sqref>F60</xm:sqref>
        </x14:conditionalFormatting>
        <x14:conditionalFormatting xmlns:xm="http://schemas.microsoft.com/office/excel/2006/main">
          <x14:cfRule type="expression" priority="55" id="{16BAD343-CAAD-46E1-8E7E-CEB6C9D7C0A2}">
            <xm:f>入力!$B$14-1&lt;27</xm:f>
            <x14:dxf>
              <fill>
                <patternFill patternType="mediumGray"/>
              </fill>
            </x14:dxf>
          </x14:cfRule>
          <xm:sqref>G60</xm:sqref>
        </x14:conditionalFormatting>
        <x14:conditionalFormatting xmlns:xm="http://schemas.microsoft.com/office/excel/2006/main">
          <x14:cfRule type="expression" priority="54" id="{EF81D982-2F9B-4878-A46E-A7760A81C056}">
            <xm:f>入力!$B$14&lt;27</xm:f>
            <x14:dxf>
              <fill>
                <patternFill patternType="mediumGray"/>
              </fill>
            </x14:dxf>
          </x14:cfRule>
          <xm:sqref>H60</xm:sqref>
        </x14:conditionalFormatting>
        <x14:conditionalFormatting xmlns:xm="http://schemas.microsoft.com/office/excel/2006/main">
          <x14:cfRule type="expression" priority="53" id="{C9F049B0-6011-4433-9DED-AA1AA818DB0F}">
            <xm:f>入力!$B$14+1&lt;27</xm:f>
            <x14:dxf>
              <fill>
                <patternFill patternType="mediumGray"/>
              </fill>
            </x14:dxf>
          </x14:cfRule>
          <xm:sqref>I60</xm:sqref>
        </x14:conditionalFormatting>
        <x14:conditionalFormatting xmlns:xm="http://schemas.microsoft.com/office/excel/2006/main">
          <x14:cfRule type="expression" priority="52" id="{5E122DE6-C42A-49C8-8E6A-584891D2D602}">
            <xm:f>入力!$B$14+2&lt;27</xm:f>
            <x14:dxf>
              <fill>
                <patternFill patternType="mediumGray"/>
              </fill>
            </x14:dxf>
          </x14:cfRule>
          <xm:sqref>J60</xm:sqref>
        </x14:conditionalFormatting>
        <x14:conditionalFormatting xmlns:xm="http://schemas.microsoft.com/office/excel/2006/main">
          <x14:cfRule type="expression" priority="51" id="{878CADE3-2219-4550-A611-D74035EA3E1B}">
            <xm:f>入力!$B$14+3&lt;27</xm:f>
            <x14:dxf>
              <fill>
                <patternFill patternType="mediumGray"/>
              </fill>
            </x14:dxf>
          </x14:cfRule>
          <xm:sqref>K60</xm:sqref>
        </x14:conditionalFormatting>
        <x14:conditionalFormatting xmlns:xm="http://schemas.microsoft.com/office/excel/2006/main">
          <x14:cfRule type="expression" priority="50" id="{3E107EE1-BC4E-440F-A4EF-744E5492E413}">
            <xm:f>入力!$B$14+4&lt;27</xm:f>
            <x14:dxf>
              <fill>
                <patternFill patternType="mediumGray"/>
              </fill>
            </x14:dxf>
          </x14:cfRule>
          <xm:sqref>L60</xm:sqref>
        </x14:conditionalFormatting>
        <x14:conditionalFormatting xmlns:xm="http://schemas.microsoft.com/office/excel/2006/main">
          <x14:cfRule type="expression" priority="48" id="{D375388F-32BE-4128-9468-A80E70FD259B}">
            <xm:f>入力!$B$14-3&lt;27</xm:f>
            <x14:dxf>
              <fill>
                <patternFill patternType="mediumGray"/>
              </fill>
            </x14:dxf>
          </x14:cfRule>
          <xm:sqref>E61</xm:sqref>
        </x14:conditionalFormatting>
        <x14:conditionalFormatting xmlns:xm="http://schemas.microsoft.com/office/excel/2006/main">
          <x14:cfRule type="expression" priority="47" id="{F47044A3-DC89-43D8-821E-32AB2FA31354}">
            <xm:f>入力!$B$14-2&lt;27</xm:f>
            <x14:dxf>
              <fill>
                <patternFill patternType="mediumGray"/>
              </fill>
            </x14:dxf>
          </x14:cfRule>
          <xm:sqref>F61</xm:sqref>
        </x14:conditionalFormatting>
        <x14:conditionalFormatting xmlns:xm="http://schemas.microsoft.com/office/excel/2006/main">
          <x14:cfRule type="expression" priority="46" id="{A38BCB41-AA1B-4F18-B7BA-57B133C51C4E}">
            <xm:f>入力!$B$14-1&lt;27</xm:f>
            <x14:dxf>
              <fill>
                <patternFill patternType="mediumGray"/>
              </fill>
            </x14:dxf>
          </x14:cfRule>
          <xm:sqref>G61</xm:sqref>
        </x14:conditionalFormatting>
        <x14:conditionalFormatting xmlns:xm="http://schemas.microsoft.com/office/excel/2006/main">
          <x14:cfRule type="expression" priority="45" id="{D8EDCAA9-963B-4864-ADD1-33F12AEF8C4A}">
            <xm:f>入力!$B$14&lt;27</xm:f>
            <x14:dxf>
              <fill>
                <patternFill patternType="mediumGray"/>
              </fill>
            </x14:dxf>
          </x14:cfRule>
          <xm:sqref>H61</xm:sqref>
        </x14:conditionalFormatting>
        <x14:conditionalFormatting xmlns:xm="http://schemas.microsoft.com/office/excel/2006/main">
          <x14:cfRule type="expression" priority="44" id="{CFADD918-7488-45D4-B4C2-F465392927E8}">
            <xm:f>入力!$B$14+1&lt;27</xm:f>
            <x14:dxf>
              <fill>
                <patternFill patternType="mediumGray"/>
              </fill>
            </x14:dxf>
          </x14:cfRule>
          <xm:sqref>I61</xm:sqref>
        </x14:conditionalFormatting>
        <x14:conditionalFormatting xmlns:xm="http://schemas.microsoft.com/office/excel/2006/main">
          <x14:cfRule type="expression" priority="43" id="{0568F41A-DAF2-4098-A4A2-7CFC195F4714}">
            <xm:f>入力!$B$14+2&lt;27</xm:f>
            <x14:dxf>
              <fill>
                <patternFill patternType="mediumGray"/>
              </fill>
            </x14:dxf>
          </x14:cfRule>
          <xm:sqref>J61</xm:sqref>
        </x14:conditionalFormatting>
        <x14:conditionalFormatting xmlns:xm="http://schemas.microsoft.com/office/excel/2006/main">
          <x14:cfRule type="expression" priority="42" id="{917F4D64-E398-4E6F-8151-129980DE3238}">
            <xm:f>入力!$B$14+3&lt;27</xm:f>
            <x14:dxf>
              <fill>
                <patternFill patternType="mediumGray"/>
              </fill>
            </x14:dxf>
          </x14:cfRule>
          <xm:sqref>K61</xm:sqref>
        </x14:conditionalFormatting>
        <x14:conditionalFormatting xmlns:xm="http://schemas.microsoft.com/office/excel/2006/main">
          <x14:cfRule type="expression" priority="41" id="{B5AF001B-3EE7-4465-8380-1561A244A95F}">
            <xm:f>入力!$B$14+4&lt;27</xm:f>
            <x14:dxf>
              <fill>
                <patternFill patternType="mediumGray"/>
              </fill>
            </x14:dxf>
          </x14:cfRule>
          <xm:sqref>L61</xm:sqref>
        </x14:conditionalFormatting>
        <x14:conditionalFormatting xmlns:xm="http://schemas.microsoft.com/office/excel/2006/main">
          <x14:cfRule type="expression" priority="39" id="{8060F5F1-415E-4513-B66A-A64721AA0D24}">
            <xm:f>入力!$B$14-3&lt;27</xm:f>
            <x14:dxf>
              <fill>
                <patternFill patternType="mediumGray"/>
              </fill>
            </x14:dxf>
          </x14:cfRule>
          <xm:sqref>E62</xm:sqref>
        </x14:conditionalFormatting>
        <x14:conditionalFormatting xmlns:xm="http://schemas.microsoft.com/office/excel/2006/main">
          <x14:cfRule type="expression" priority="38" id="{CBB2BCA9-1C82-44FA-A5F1-EDB3958D718E}">
            <xm:f>入力!$B$14-2&lt;27</xm:f>
            <x14:dxf>
              <fill>
                <patternFill patternType="mediumGray"/>
              </fill>
            </x14:dxf>
          </x14:cfRule>
          <xm:sqref>F62</xm:sqref>
        </x14:conditionalFormatting>
        <x14:conditionalFormatting xmlns:xm="http://schemas.microsoft.com/office/excel/2006/main">
          <x14:cfRule type="expression" priority="37" id="{A7634AB2-A307-48CC-8B23-DAAB63DA70DF}">
            <xm:f>入力!$B$14-1&lt;27</xm:f>
            <x14:dxf>
              <fill>
                <patternFill patternType="mediumGray"/>
              </fill>
            </x14:dxf>
          </x14:cfRule>
          <xm:sqref>G62</xm:sqref>
        </x14:conditionalFormatting>
        <x14:conditionalFormatting xmlns:xm="http://schemas.microsoft.com/office/excel/2006/main">
          <x14:cfRule type="expression" priority="36" id="{C9AC736D-C194-46A2-B9AE-B17964C178DC}">
            <xm:f>入力!$B$14&lt;27</xm:f>
            <x14:dxf>
              <fill>
                <patternFill patternType="mediumGray"/>
              </fill>
            </x14:dxf>
          </x14:cfRule>
          <xm:sqref>H62</xm:sqref>
        </x14:conditionalFormatting>
        <x14:conditionalFormatting xmlns:xm="http://schemas.microsoft.com/office/excel/2006/main">
          <x14:cfRule type="expression" priority="35" id="{ED0A1373-9E77-46C9-942F-0292538341E1}">
            <xm:f>入力!$B$14+1&lt;27</xm:f>
            <x14:dxf>
              <fill>
                <patternFill patternType="mediumGray"/>
              </fill>
            </x14:dxf>
          </x14:cfRule>
          <xm:sqref>I62</xm:sqref>
        </x14:conditionalFormatting>
        <x14:conditionalFormatting xmlns:xm="http://schemas.microsoft.com/office/excel/2006/main">
          <x14:cfRule type="expression" priority="34" id="{D1E0EBBF-A603-447F-A907-B9CE85DB8E7A}">
            <xm:f>入力!$B$14+2&lt;27</xm:f>
            <x14:dxf>
              <fill>
                <patternFill patternType="mediumGray"/>
              </fill>
            </x14:dxf>
          </x14:cfRule>
          <xm:sqref>J62</xm:sqref>
        </x14:conditionalFormatting>
        <x14:conditionalFormatting xmlns:xm="http://schemas.microsoft.com/office/excel/2006/main">
          <x14:cfRule type="expression" priority="33" id="{861428EA-A3FC-47EE-AF8D-11D748E38590}">
            <xm:f>入力!$B$14+3&lt;27</xm:f>
            <x14:dxf>
              <fill>
                <patternFill patternType="mediumGray"/>
              </fill>
            </x14:dxf>
          </x14:cfRule>
          <xm:sqref>K62</xm:sqref>
        </x14:conditionalFormatting>
        <x14:conditionalFormatting xmlns:xm="http://schemas.microsoft.com/office/excel/2006/main">
          <x14:cfRule type="expression" priority="32" id="{7A4DFC48-D280-4531-AC13-C0A70C0DE617}">
            <xm:f>入力!$B$14+4&lt;27</xm:f>
            <x14:dxf>
              <fill>
                <patternFill patternType="mediumGray"/>
              </fill>
            </x14:dxf>
          </x14:cfRule>
          <xm:sqref>L62</xm:sqref>
        </x14:conditionalFormatting>
        <x14:conditionalFormatting xmlns:xm="http://schemas.microsoft.com/office/excel/2006/main">
          <x14:cfRule type="expression" priority="30" id="{67CBA034-03A9-44C4-BEFA-36D8D67254A6}">
            <xm:f>入力!$B$14-3&lt;27</xm:f>
            <x14:dxf>
              <fill>
                <patternFill patternType="mediumGray"/>
              </fill>
            </x14:dxf>
          </x14:cfRule>
          <xm:sqref>E63</xm:sqref>
        </x14:conditionalFormatting>
        <x14:conditionalFormatting xmlns:xm="http://schemas.microsoft.com/office/excel/2006/main">
          <x14:cfRule type="expression" priority="29" id="{0D4EAE0C-719D-49A9-8926-6E90D01F432C}">
            <xm:f>入力!$B$14-2&lt;27</xm:f>
            <x14:dxf>
              <fill>
                <patternFill patternType="mediumGray"/>
              </fill>
            </x14:dxf>
          </x14:cfRule>
          <xm:sqref>F63</xm:sqref>
        </x14:conditionalFormatting>
        <x14:conditionalFormatting xmlns:xm="http://schemas.microsoft.com/office/excel/2006/main">
          <x14:cfRule type="expression" priority="28" id="{06BE3F82-FC86-4675-890B-B8251D63FE4D}">
            <xm:f>入力!$B$14-1&lt;27</xm:f>
            <x14:dxf>
              <fill>
                <patternFill patternType="mediumGray"/>
              </fill>
            </x14:dxf>
          </x14:cfRule>
          <xm:sqref>G63</xm:sqref>
        </x14:conditionalFormatting>
        <x14:conditionalFormatting xmlns:xm="http://schemas.microsoft.com/office/excel/2006/main">
          <x14:cfRule type="expression" priority="27" id="{ACD4EB56-FB5F-41F0-9F64-7393188D3012}">
            <xm:f>入力!$B$14&lt;27</xm:f>
            <x14:dxf>
              <fill>
                <patternFill patternType="mediumGray"/>
              </fill>
            </x14:dxf>
          </x14:cfRule>
          <xm:sqref>H63</xm:sqref>
        </x14:conditionalFormatting>
        <x14:conditionalFormatting xmlns:xm="http://schemas.microsoft.com/office/excel/2006/main">
          <x14:cfRule type="expression" priority="26" id="{3BEB1E6F-B4E1-41DA-9505-DFFB946FE446}">
            <xm:f>入力!$B$14+1&lt;27</xm:f>
            <x14:dxf>
              <fill>
                <patternFill patternType="mediumGray"/>
              </fill>
            </x14:dxf>
          </x14:cfRule>
          <xm:sqref>I63</xm:sqref>
        </x14:conditionalFormatting>
        <x14:conditionalFormatting xmlns:xm="http://schemas.microsoft.com/office/excel/2006/main">
          <x14:cfRule type="expression" priority="25" id="{F916B9DE-F84D-462C-B58D-128D124D875A}">
            <xm:f>入力!$B$14+2&lt;27</xm:f>
            <x14:dxf>
              <fill>
                <patternFill patternType="mediumGray"/>
              </fill>
            </x14:dxf>
          </x14:cfRule>
          <xm:sqref>J63</xm:sqref>
        </x14:conditionalFormatting>
        <x14:conditionalFormatting xmlns:xm="http://schemas.microsoft.com/office/excel/2006/main">
          <x14:cfRule type="expression" priority="24" id="{2007792D-D367-438A-9FFE-E64B1C09C11C}">
            <xm:f>入力!$B$14+3&lt;27</xm:f>
            <x14:dxf>
              <fill>
                <patternFill patternType="mediumGray"/>
              </fill>
            </x14:dxf>
          </x14:cfRule>
          <xm:sqref>K63</xm:sqref>
        </x14:conditionalFormatting>
        <x14:conditionalFormatting xmlns:xm="http://schemas.microsoft.com/office/excel/2006/main">
          <x14:cfRule type="expression" priority="23" id="{EE67FB79-20D4-41C8-A248-117090D44981}">
            <xm:f>入力!$B$14+4&lt;27</xm:f>
            <x14:dxf>
              <fill>
                <patternFill patternType="mediumGray"/>
              </fill>
            </x14:dxf>
          </x14:cfRule>
          <xm:sqref>L63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47"/>
  <sheetViews>
    <sheetView zoomScale="85" zoomScaleNormal="85" zoomScaleSheetLayoutView="85" workbookViewId="0">
      <pane xSplit="4" ySplit="3" topLeftCell="E4" activePane="bottomRight" state="frozen"/>
      <selection activeCell="H18" sqref="H18"/>
      <selection pane="topRight" activeCell="H18" sqref="H18"/>
      <selection pane="bottomLeft" activeCell="H18" sqref="H18"/>
      <selection pane="bottomRight"/>
    </sheetView>
  </sheetViews>
  <sheetFormatPr defaultColWidth="9" defaultRowHeight="14.4" x14ac:dyDescent="0.2"/>
  <cols>
    <col min="1" max="1" width="3.77734375" style="8" customWidth="1"/>
    <col min="2" max="2" width="1.88671875" style="8" customWidth="1"/>
    <col min="3" max="3" width="2" style="8" customWidth="1"/>
    <col min="4" max="4" width="38.6640625" style="8" customWidth="1"/>
    <col min="5" max="11" width="11.21875" style="8" customWidth="1"/>
    <col min="12" max="13" width="11.77734375" style="8" customWidth="1"/>
    <col min="14" max="16384" width="9" style="8"/>
  </cols>
  <sheetData>
    <row r="1" spans="1:13" s="64" customFormat="1" ht="60" customHeight="1" x14ac:dyDescent="0.2">
      <c r="A1" s="17" t="s">
        <v>238</v>
      </c>
      <c r="E1" s="17" t="str">
        <f>CONCATENATE("（","法人番号：",入力!B2,"　　","法人名：",入力!B5,"）")</f>
        <v>（法人番号：131999　　法人名：東西大学）</v>
      </c>
      <c r="F1" s="7"/>
      <c r="G1" s="7"/>
      <c r="H1" s="7"/>
      <c r="I1" s="7"/>
      <c r="J1" s="268"/>
      <c r="K1" s="268"/>
      <c r="L1" s="890" t="s">
        <v>379</v>
      </c>
      <c r="M1" s="891"/>
    </row>
    <row r="2" spans="1:13" s="64" customFormat="1" ht="27" customHeight="1" thickBot="1" x14ac:dyDescent="0.25">
      <c r="A2" s="7"/>
      <c r="E2" s="270"/>
      <c r="F2" s="270"/>
      <c r="G2" s="270"/>
      <c r="H2" s="270"/>
      <c r="I2" s="270"/>
      <c r="J2" s="271"/>
      <c r="K2" s="271"/>
      <c r="L2" s="265"/>
      <c r="M2" s="633" t="str">
        <f>入力!E18</f>
        <v>新規</v>
      </c>
    </row>
    <row r="3" spans="1:13" ht="32.25" customHeight="1" x14ac:dyDescent="0.2">
      <c r="A3" s="885" t="s">
        <v>49</v>
      </c>
      <c r="B3" s="886"/>
      <c r="C3" s="887"/>
      <c r="D3" s="887"/>
      <c r="E3" s="670" t="str">
        <f>VLOOKUP(入力!$I$14-3,和暦表示!$B$10:$D$35,3,FALSE)</f>
        <v>5年度実績</v>
      </c>
      <c r="F3" s="671" t="str">
        <f>VLOOKUP(入力!$I$14-2,和暦表示!$B$10:$D$35,3,FALSE)</f>
        <v>6年度実績</v>
      </c>
      <c r="G3" s="677" t="str">
        <f>VLOOKUP(入力!$I$14-1,和暦表示!$B$10:$D$35,3,FALSE)</f>
        <v>7年度実績</v>
      </c>
      <c r="H3" s="673" t="str">
        <f>VLOOKUP(入力!$I$14,和暦表示!$B$10:$D$35,3,FALSE)</f>
        <v>8年度見込</v>
      </c>
      <c r="I3" s="674" t="str">
        <f>VLOOKUP(入力!$I$14+1,和暦表示!$B$10:$D$35,3,FALSE)</f>
        <v>9年度見込</v>
      </c>
      <c r="J3" s="674" t="str">
        <f>VLOOKUP(入力!$I$14+2,和暦表示!$B$10:$D$35,3,FALSE)</f>
        <v>10年度見込</v>
      </c>
      <c r="K3" s="674" t="str">
        <f>VLOOKUP(入力!$I$14+3,和暦表示!$B$10:$D$35,3,FALSE)</f>
        <v>11年度見込</v>
      </c>
      <c r="L3" s="675" t="str">
        <f>VLOOKUP(入力!$I$14+4,和暦表示!$B$10:$D$35,3,FALSE)</f>
        <v>12年度見込</v>
      </c>
      <c r="M3" s="676" t="str">
        <f>"当初最終年度
"&amp;VLOOKUP(入力!$I$8+4,和暦表示!$B$10:$D$35,3,FALSE)</f>
        <v>当初最終年度
12年度見込</v>
      </c>
    </row>
    <row r="4" spans="1:13" ht="25.5" customHeight="1" x14ac:dyDescent="0.2">
      <c r="A4" s="882" t="s">
        <v>1</v>
      </c>
      <c r="B4" s="56" t="s">
        <v>5</v>
      </c>
      <c r="C4" s="57"/>
      <c r="D4" s="57"/>
      <c r="E4" s="357"/>
      <c r="F4" s="358"/>
      <c r="G4" s="359"/>
      <c r="H4" s="629">
        <f>H5+H6</f>
        <v>0</v>
      </c>
      <c r="I4" s="358">
        <f t="shared" ref="I4:M4" si="0">I5+I6</f>
        <v>0</v>
      </c>
      <c r="J4" s="358">
        <f t="shared" si="0"/>
        <v>0</v>
      </c>
      <c r="K4" s="358">
        <f t="shared" si="0"/>
        <v>0</v>
      </c>
      <c r="L4" s="360">
        <f t="shared" si="0"/>
        <v>0</v>
      </c>
      <c r="M4" s="361">
        <f t="shared" si="0"/>
        <v>0</v>
      </c>
    </row>
    <row r="5" spans="1:13" ht="25.5" customHeight="1" x14ac:dyDescent="0.2">
      <c r="A5" s="892"/>
      <c r="B5" s="57"/>
      <c r="C5" s="57" t="s">
        <v>33</v>
      </c>
      <c r="D5" s="57"/>
      <c r="E5" s="362">
        <f t="shared" ref="E5:F5" si="1">E4-E6</f>
        <v>0</v>
      </c>
      <c r="F5" s="350">
        <f t="shared" si="1"/>
        <v>0</v>
      </c>
      <c r="G5" s="363">
        <f>G4-G6</f>
        <v>0</v>
      </c>
      <c r="H5" s="353"/>
      <c r="I5" s="350"/>
      <c r="J5" s="350"/>
      <c r="K5" s="350"/>
      <c r="L5" s="351"/>
      <c r="M5" s="352"/>
    </row>
    <row r="6" spans="1:13" ht="25.5" customHeight="1" x14ac:dyDescent="0.2">
      <c r="A6" s="892"/>
      <c r="B6" s="57"/>
      <c r="C6" s="57" t="s">
        <v>32</v>
      </c>
      <c r="D6" s="57"/>
      <c r="E6" s="362"/>
      <c r="F6" s="350"/>
      <c r="G6" s="363"/>
      <c r="H6" s="350"/>
      <c r="I6" s="350"/>
      <c r="J6" s="350"/>
      <c r="K6" s="350"/>
      <c r="L6" s="351"/>
      <c r="M6" s="352"/>
    </row>
    <row r="7" spans="1:13" ht="25.5" customHeight="1" x14ac:dyDescent="0.2">
      <c r="A7" s="892"/>
      <c r="B7" s="58" t="s">
        <v>6</v>
      </c>
      <c r="C7" s="57"/>
      <c r="D7" s="57"/>
      <c r="E7" s="362"/>
      <c r="F7" s="350"/>
      <c r="G7" s="363"/>
      <c r="H7" s="350"/>
      <c r="I7" s="350"/>
      <c r="J7" s="350"/>
      <c r="K7" s="350"/>
      <c r="L7" s="351"/>
      <c r="M7" s="352"/>
    </row>
    <row r="8" spans="1:13" ht="25.5" customHeight="1" x14ac:dyDescent="0.2">
      <c r="A8" s="892"/>
      <c r="B8" s="58" t="s">
        <v>7</v>
      </c>
      <c r="C8" s="57"/>
      <c r="D8" s="57"/>
      <c r="E8" s="364">
        <f t="shared" ref="E8:G8" si="2">E9+E10</f>
        <v>0</v>
      </c>
      <c r="F8" s="365">
        <f t="shared" si="2"/>
        <v>0</v>
      </c>
      <c r="G8" s="366">
        <f t="shared" si="2"/>
        <v>0</v>
      </c>
      <c r="H8" s="354">
        <f t="shared" ref="H8:M8" si="3">H9+H10</f>
        <v>0</v>
      </c>
      <c r="I8" s="350">
        <f t="shared" si="3"/>
        <v>0</v>
      </c>
      <c r="J8" s="350">
        <f t="shared" si="3"/>
        <v>0</v>
      </c>
      <c r="K8" s="350">
        <f t="shared" si="3"/>
        <v>0</v>
      </c>
      <c r="L8" s="351">
        <f t="shared" si="3"/>
        <v>0</v>
      </c>
      <c r="M8" s="352">
        <f t="shared" si="3"/>
        <v>0</v>
      </c>
    </row>
    <row r="9" spans="1:13" ht="25.5" customHeight="1" x14ac:dyDescent="0.2">
      <c r="A9" s="892"/>
      <c r="B9" s="57"/>
      <c r="C9" s="57" t="s">
        <v>34</v>
      </c>
      <c r="D9" s="57"/>
      <c r="E9" s="362"/>
      <c r="F9" s="350"/>
      <c r="G9" s="363"/>
      <c r="H9" s="350"/>
      <c r="I9" s="350"/>
      <c r="J9" s="350"/>
      <c r="K9" s="350"/>
      <c r="L9" s="351"/>
      <c r="M9" s="352"/>
    </row>
    <row r="10" spans="1:13" ht="25.5" customHeight="1" x14ac:dyDescent="0.2">
      <c r="A10" s="892"/>
      <c r="B10" s="57"/>
      <c r="C10" s="57" t="s">
        <v>35</v>
      </c>
      <c r="D10" s="57"/>
      <c r="E10" s="362"/>
      <c r="F10" s="350"/>
      <c r="G10" s="363"/>
      <c r="H10" s="350"/>
      <c r="I10" s="350"/>
      <c r="J10" s="350"/>
      <c r="K10" s="350"/>
      <c r="L10" s="351"/>
      <c r="M10" s="352"/>
    </row>
    <row r="11" spans="1:13" ht="25.5" customHeight="1" x14ac:dyDescent="0.2">
      <c r="A11" s="892"/>
      <c r="B11" s="58" t="s">
        <v>8</v>
      </c>
      <c r="C11" s="57"/>
      <c r="D11" s="57"/>
      <c r="E11" s="364"/>
      <c r="F11" s="365"/>
      <c r="G11" s="366"/>
      <c r="H11" s="354">
        <f t="shared" ref="H11:M11" si="4">H12+H15+H16</f>
        <v>0</v>
      </c>
      <c r="I11" s="350">
        <f t="shared" si="4"/>
        <v>0</v>
      </c>
      <c r="J11" s="350">
        <f t="shared" si="4"/>
        <v>0</v>
      </c>
      <c r="K11" s="350">
        <f t="shared" si="4"/>
        <v>0</v>
      </c>
      <c r="L11" s="351">
        <f t="shared" si="4"/>
        <v>0</v>
      </c>
      <c r="M11" s="352">
        <f t="shared" si="4"/>
        <v>0</v>
      </c>
    </row>
    <row r="12" spans="1:13" ht="25.5" customHeight="1" x14ac:dyDescent="0.2">
      <c r="A12" s="892"/>
      <c r="B12" s="57"/>
      <c r="C12" s="57" t="s">
        <v>36</v>
      </c>
      <c r="D12" s="57"/>
      <c r="E12" s="364"/>
      <c r="F12" s="365"/>
      <c r="G12" s="366"/>
      <c r="H12" s="354">
        <f t="shared" ref="H12:M12" si="5">H13+H14</f>
        <v>0</v>
      </c>
      <c r="I12" s="350">
        <f t="shared" si="5"/>
        <v>0</v>
      </c>
      <c r="J12" s="350">
        <f t="shared" si="5"/>
        <v>0</v>
      </c>
      <c r="K12" s="350">
        <f t="shared" si="5"/>
        <v>0</v>
      </c>
      <c r="L12" s="351">
        <f t="shared" si="5"/>
        <v>0</v>
      </c>
      <c r="M12" s="352">
        <f t="shared" si="5"/>
        <v>0</v>
      </c>
    </row>
    <row r="13" spans="1:13" ht="25.5" customHeight="1" x14ac:dyDescent="0.2">
      <c r="A13" s="892"/>
      <c r="B13" s="58"/>
      <c r="C13" s="57"/>
      <c r="D13" s="120" t="s">
        <v>37</v>
      </c>
      <c r="E13" s="362"/>
      <c r="F13" s="350"/>
      <c r="G13" s="363"/>
      <c r="H13" s="350"/>
      <c r="I13" s="350"/>
      <c r="J13" s="350"/>
      <c r="K13" s="350"/>
      <c r="L13" s="351"/>
      <c r="M13" s="352"/>
    </row>
    <row r="14" spans="1:13" ht="25.5" customHeight="1" x14ac:dyDescent="0.2">
      <c r="A14" s="892"/>
      <c r="B14" s="58"/>
      <c r="C14" s="57"/>
      <c r="D14" s="57" t="s">
        <v>38</v>
      </c>
      <c r="E14" s="362">
        <f>E12-E13</f>
        <v>0</v>
      </c>
      <c r="F14" s="350">
        <f>F12-F13</f>
        <v>0</v>
      </c>
      <c r="G14" s="363">
        <f>G12-G13</f>
        <v>0</v>
      </c>
      <c r="H14" s="350"/>
      <c r="I14" s="350"/>
      <c r="J14" s="350"/>
      <c r="K14" s="350"/>
      <c r="L14" s="351"/>
      <c r="M14" s="352"/>
    </row>
    <row r="15" spans="1:13" ht="25.5" customHeight="1" x14ac:dyDescent="0.2">
      <c r="A15" s="892"/>
      <c r="B15" s="58"/>
      <c r="C15" s="57" t="s">
        <v>178</v>
      </c>
      <c r="D15" s="57"/>
      <c r="E15" s="362"/>
      <c r="F15" s="350"/>
      <c r="G15" s="363"/>
      <c r="H15" s="350"/>
      <c r="I15" s="350"/>
      <c r="J15" s="350"/>
      <c r="K15" s="350"/>
      <c r="L15" s="351"/>
      <c r="M15" s="352"/>
    </row>
    <row r="16" spans="1:13" ht="25.5" customHeight="1" x14ac:dyDescent="0.2">
      <c r="A16" s="892"/>
      <c r="B16" s="58"/>
      <c r="C16" s="888" t="s">
        <v>40</v>
      </c>
      <c r="D16" s="888"/>
      <c r="E16" s="362">
        <f t="shared" ref="E16:F16" si="6">E11-E12-E15</f>
        <v>0</v>
      </c>
      <c r="F16" s="350">
        <f t="shared" si="6"/>
        <v>0</v>
      </c>
      <c r="G16" s="363">
        <f>G11-G12-G15</f>
        <v>0</v>
      </c>
      <c r="H16" s="350"/>
      <c r="I16" s="350"/>
      <c r="J16" s="350"/>
      <c r="K16" s="350"/>
      <c r="L16" s="351"/>
      <c r="M16" s="352"/>
    </row>
    <row r="17" spans="1:13" ht="25.5" customHeight="1" x14ac:dyDescent="0.2">
      <c r="A17" s="892"/>
      <c r="B17" s="59" t="s">
        <v>21</v>
      </c>
      <c r="C17" s="60"/>
      <c r="D17" s="60"/>
      <c r="E17" s="362"/>
      <c r="F17" s="350"/>
      <c r="G17" s="363"/>
      <c r="H17" s="350">
        <f>SUM(H18:H21)</f>
        <v>0</v>
      </c>
      <c r="I17" s="350">
        <f t="shared" ref="I17:M17" si="7">SUM(I18:I21)</f>
        <v>0</v>
      </c>
      <c r="J17" s="350">
        <f t="shared" si="7"/>
        <v>0</v>
      </c>
      <c r="K17" s="350">
        <f t="shared" si="7"/>
        <v>0</v>
      </c>
      <c r="L17" s="350">
        <f t="shared" si="7"/>
        <v>0</v>
      </c>
      <c r="M17" s="352">
        <f t="shared" si="7"/>
        <v>0</v>
      </c>
    </row>
    <row r="18" spans="1:13" ht="25.5" customHeight="1" x14ac:dyDescent="0.2">
      <c r="A18" s="892"/>
      <c r="B18" s="57"/>
      <c r="C18" s="57" t="s">
        <v>264</v>
      </c>
      <c r="D18" s="57"/>
      <c r="E18" s="347"/>
      <c r="F18" s="348"/>
      <c r="G18" s="349"/>
      <c r="H18" s="350"/>
      <c r="I18" s="350"/>
      <c r="J18" s="350"/>
      <c r="K18" s="350"/>
      <c r="L18" s="351"/>
      <c r="M18" s="352"/>
    </row>
    <row r="19" spans="1:13" ht="25.5" customHeight="1" x14ac:dyDescent="0.2">
      <c r="A19" s="892"/>
      <c r="B19" s="57"/>
      <c r="C19" s="57" t="s">
        <v>265</v>
      </c>
      <c r="D19" s="57"/>
      <c r="E19" s="347"/>
      <c r="F19" s="348"/>
      <c r="G19" s="349"/>
      <c r="H19" s="350"/>
      <c r="I19" s="350"/>
      <c r="J19" s="350"/>
      <c r="K19" s="350"/>
      <c r="L19" s="351"/>
      <c r="M19" s="352"/>
    </row>
    <row r="20" spans="1:13" ht="25.5" customHeight="1" x14ac:dyDescent="0.2">
      <c r="A20" s="892"/>
      <c r="B20" s="57"/>
      <c r="C20" s="57" t="s">
        <v>41</v>
      </c>
      <c r="D20" s="57"/>
      <c r="E20" s="362"/>
      <c r="F20" s="350"/>
      <c r="G20" s="363"/>
      <c r="H20" s="350"/>
      <c r="I20" s="350"/>
      <c r="J20" s="350"/>
      <c r="K20" s="350"/>
      <c r="L20" s="351"/>
      <c r="M20" s="352"/>
    </row>
    <row r="21" spans="1:13" ht="25.5" customHeight="1" x14ac:dyDescent="0.2">
      <c r="A21" s="892"/>
      <c r="B21" s="57"/>
      <c r="C21" s="57" t="s">
        <v>42</v>
      </c>
      <c r="D21" s="57"/>
      <c r="E21" s="362">
        <f t="shared" ref="E21:F21" si="8">E17-E18-E19-E20</f>
        <v>0</v>
      </c>
      <c r="F21" s="350">
        <f t="shared" si="8"/>
        <v>0</v>
      </c>
      <c r="G21" s="363">
        <f>G17-G18-G19-G20</f>
        <v>0</v>
      </c>
      <c r="H21" s="350"/>
      <c r="I21" s="350"/>
      <c r="J21" s="350"/>
      <c r="K21" s="350"/>
      <c r="L21" s="351"/>
      <c r="M21" s="352"/>
    </row>
    <row r="22" spans="1:13" ht="25.5" customHeight="1" x14ac:dyDescent="0.2">
      <c r="A22" s="892"/>
      <c r="B22" s="59" t="s">
        <v>266</v>
      </c>
      <c r="C22" s="60"/>
      <c r="D22" s="60"/>
      <c r="E22" s="347"/>
      <c r="F22" s="348"/>
      <c r="G22" s="349"/>
      <c r="H22" s="350"/>
      <c r="I22" s="350"/>
      <c r="J22" s="350"/>
      <c r="K22" s="350"/>
      <c r="L22" s="351"/>
      <c r="M22" s="352"/>
    </row>
    <row r="23" spans="1:13" ht="25.5" customHeight="1" x14ac:dyDescent="0.2">
      <c r="A23" s="892"/>
      <c r="B23" s="59" t="s">
        <v>274</v>
      </c>
      <c r="C23" s="60"/>
      <c r="D23" s="60"/>
      <c r="E23" s="347"/>
      <c r="F23" s="348"/>
      <c r="G23" s="349"/>
      <c r="H23" s="350"/>
      <c r="I23" s="350"/>
      <c r="J23" s="350"/>
      <c r="K23" s="350"/>
      <c r="L23" s="351"/>
      <c r="M23" s="352"/>
    </row>
    <row r="24" spans="1:13" ht="25.5" customHeight="1" x14ac:dyDescent="0.2">
      <c r="A24" s="892"/>
      <c r="B24" s="59" t="s">
        <v>9</v>
      </c>
      <c r="C24" s="60"/>
      <c r="D24" s="60"/>
      <c r="E24" s="364"/>
      <c r="F24" s="365"/>
      <c r="G24" s="366"/>
      <c r="H24" s="354">
        <f t="shared" ref="H24:M24" si="9">H25+H26</f>
        <v>0</v>
      </c>
      <c r="I24" s="350">
        <f t="shared" si="9"/>
        <v>0</v>
      </c>
      <c r="J24" s="350">
        <f t="shared" si="9"/>
        <v>0</v>
      </c>
      <c r="K24" s="350">
        <f t="shared" si="9"/>
        <v>0</v>
      </c>
      <c r="L24" s="351">
        <f t="shared" si="9"/>
        <v>0</v>
      </c>
      <c r="M24" s="352">
        <f t="shared" si="9"/>
        <v>0</v>
      </c>
    </row>
    <row r="25" spans="1:13" ht="25.5" customHeight="1" x14ac:dyDescent="0.2">
      <c r="A25" s="892"/>
      <c r="B25" s="59"/>
      <c r="C25" s="60" t="s">
        <v>74</v>
      </c>
      <c r="D25" s="60"/>
      <c r="E25" s="362"/>
      <c r="F25" s="350"/>
      <c r="G25" s="363"/>
      <c r="H25" s="350"/>
      <c r="I25" s="350"/>
      <c r="J25" s="350"/>
      <c r="K25" s="350"/>
      <c r="L25" s="351"/>
      <c r="M25" s="352"/>
    </row>
    <row r="26" spans="1:13" ht="25.5" customHeight="1" x14ac:dyDescent="0.2">
      <c r="A26" s="892"/>
      <c r="B26" s="59"/>
      <c r="C26" s="60" t="s">
        <v>75</v>
      </c>
      <c r="D26" s="60"/>
      <c r="E26" s="362">
        <f t="shared" ref="E26:F26" si="10">E24-E25</f>
        <v>0</v>
      </c>
      <c r="F26" s="350">
        <f t="shared" si="10"/>
        <v>0</v>
      </c>
      <c r="G26" s="363">
        <f>G24-G25</f>
        <v>0</v>
      </c>
      <c r="H26" s="350"/>
      <c r="I26" s="350"/>
      <c r="J26" s="350"/>
      <c r="K26" s="350"/>
      <c r="L26" s="351"/>
      <c r="M26" s="352"/>
    </row>
    <row r="27" spans="1:13" ht="25.5" customHeight="1" x14ac:dyDescent="0.2">
      <c r="A27" s="892"/>
      <c r="B27" s="59" t="s">
        <v>43</v>
      </c>
      <c r="C27" s="60"/>
      <c r="D27" s="60"/>
      <c r="E27" s="364"/>
      <c r="F27" s="365"/>
      <c r="G27" s="366"/>
      <c r="H27" s="354">
        <f t="shared" ref="H27:L27" si="11">H28+H29+H30</f>
        <v>0</v>
      </c>
      <c r="I27" s="350">
        <f t="shared" si="11"/>
        <v>0</v>
      </c>
      <c r="J27" s="350">
        <f t="shared" si="11"/>
        <v>0</v>
      </c>
      <c r="K27" s="350">
        <f t="shared" si="11"/>
        <v>0</v>
      </c>
      <c r="L27" s="351">
        <f t="shared" si="11"/>
        <v>0</v>
      </c>
      <c r="M27" s="352">
        <f>M28+M29+M30</f>
        <v>0</v>
      </c>
    </row>
    <row r="28" spans="1:13" ht="25.5" customHeight="1" x14ac:dyDescent="0.2">
      <c r="A28" s="892"/>
      <c r="B28" s="57"/>
      <c r="C28" s="57" t="s">
        <v>44</v>
      </c>
      <c r="D28" s="57"/>
      <c r="E28" s="362"/>
      <c r="F28" s="350"/>
      <c r="G28" s="363"/>
      <c r="H28" s="350"/>
      <c r="I28" s="350"/>
      <c r="J28" s="350"/>
      <c r="K28" s="350"/>
      <c r="L28" s="351"/>
      <c r="M28" s="352"/>
    </row>
    <row r="29" spans="1:13" ht="25.5" customHeight="1" x14ac:dyDescent="0.2">
      <c r="A29" s="892"/>
      <c r="B29" s="57"/>
      <c r="C29" s="57" t="s">
        <v>45</v>
      </c>
      <c r="D29" s="57"/>
      <c r="E29" s="362"/>
      <c r="F29" s="350"/>
      <c r="G29" s="363"/>
      <c r="H29" s="350"/>
      <c r="I29" s="350"/>
      <c r="J29" s="350"/>
      <c r="K29" s="350"/>
      <c r="L29" s="351"/>
      <c r="M29" s="352"/>
    </row>
    <row r="30" spans="1:13" ht="25.5" customHeight="1" x14ac:dyDescent="0.2">
      <c r="A30" s="892"/>
      <c r="B30" s="57"/>
      <c r="C30" s="57" t="s">
        <v>46</v>
      </c>
      <c r="D30" s="57"/>
      <c r="E30" s="362">
        <f>E27-E28-E29</f>
        <v>0</v>
      </c>
      <c r="F30" s="350">
        <f>F27-F28-F29</f>
        <v>0</v>
      </c>
      <c r="G30" s="363">
        <f>G27-G28-G29</f>
        <v>0</v>
      </c>
      <c r="H30" s="350"/>
      <c r="I30" s="350"/>
      <c r="J30" s="350"/>
      <c r="K30" s="350"/>
      <c r="L30" s="351"/>
      <c r="M30" s="352"/>
    </row>
    <row r="31" spans="1:13" ht="25.5" customHeight="1" x14ac:dyDescent="0.2">
      <c r="A31" s="893"/>
      <c r="B31" s="61" t="s">
        <v>404</v>
      </c>
      <c r="C31" s="61"/>
      <c r="D31" s="61"/>
      <c r="E31" s="367">
        <f t="shared" ref="E31:G31" si="12">E4+E7+E8+E11+E17+E22+E23+E24+E27</f>
        <v>0</v>
      </c>
      <c r="F31" s="368">
        <f t="shared" si="12"/>
        <v>0</v>
      </c>
      <c r="G31" s="369">
        <f t="shared" si="12"/>
        <v>0</v>
      </c>
      <c r="H31" s="368">
        <f t="shared" ref="H31:M31" si="13">H4+H7+H8+H11+H17+H22+H23+H24+H27</f>
        <v>0</v>
      </c>
      <c r="I31" s="368">
        <f t="shared" si="13"/>
        <v>0</v>
      </c>
      <c r="J31" s="368">
        <f t="shared" si="13"/>
        <v>0</v>
      </c>
      <c r="K31" s="368">
        <f t="shared" si="13"/>
        <v>0</v>
      </c>
      <c r="L31" s="370">
        <f t="shared" si="13"/>
        <v>0</v>
      </c>
      <c r="M31" s="371">
        <f t="shared" si="13"/>
        <v>0</v>
      </c>
    </row>
    <row r="32" spans="1:13" ht="25.5" customHeight="1" x14ac:dyDescent="0.2">
      <c r="A32" s="882" t="s">
        <v>3</v>
      </c>
      <c r="B32" s="60" t="s">
        <v>14</v>
      </c>
      <c r="C32" s="60"/>
      <c r="D32" s="60"/>
      <c r="E32" s="357">
        <f t="shared" ref="E32:G32" si="14">SUM(E33:E38)</f>
        <v>0</v>
      </c>
      <c r="F32" s="358">
        <f t="shared" si="14"/>
        <v>0</v>
      </c>
      <c r="G32" s="359">
        <f t="shared" si="14"/>
        <v>0</v>
      </c>
      <c r="H32" s="354">
        <f>SUM(H33:H38)</f>
        <v>0</v>
      </c>
      <c r="I32" s="354">
        <f t="shared" ref="I32:M32" si="15">SUM(I33:I38)</f>
        <v>0</v>
      </c>
      <c r="J32" s="354">
        <f t="shared" si="15"/>
        <v>0</v>
      </c>
      <c r="K32" s="354">
        <f t="shared" si="15"/>
        <v>0</v>
      </c>
      <c r="L32" s="354">
        <f t="shared" si="15"/>
        <v>0</v>
      </c>
      <c r="M32" s="352">
        <f t="shared" si="15"/>
        <v>0</v>
      </c>
    </row>
    <row r="33" spans="1:13" ht="25.5" customHeight="1" x14ac:dyDescent="0.2">
      <c r="A33" s="883"/>
      <c r="B33" s="60" t="s">
        <v>22</v>
      </c>
      <c r="C33" s="60"/>
      <c r="D33" s="60"/>
      <c r="E33" s="362"/>
      <c r="F33" s="350"/>
      <c r="G33" s="363"/>
      <c r="H33" s="350"/>
      <c r="I33" s="350"/>
      <c r="J33" s="350"/>
      <c r="K33" s="350"/>
      <c r="L33" s="351"/>
      <c r="M33" s="352"/>
    </row>
    <row r="34" spans="1:13" ht="25.5" customHeight="1" x14ac:dyDescent="0.2">
      <c r="A34" s="883"/>
      <c r="B34" s="60" t="s">
        <v>23</v>
      </c>
      <c r="C34" s="60"/>
      <c r="D34" s="60"/>
      <c r="E34" s="362"/>
      <c r="F34" s="350"/>
      <c r="G34" s="363"/>
      <c r="H34" s="350"/>
      <c r="I34" s="350"/>
      <c r="J34" s="350"/>
      <c r="K34" s="350"/>
      <c r="L34" s="351"/>
      <c r="M34" s="352"/>
    </row>
    <row r="35" spans="1:13" ht="25.5" customHeight="1" x14ac:dyDescent="0.2">
      <c r="A35" s="883"/>
      <c r="B35" s="60" t="s">
        <v>24</v>
      </c>
      <c r="C35" s="60"/>
      <c r="D35" s="60"/>
      <c r="E35" s="362"/>
      <c r="F35" s="350"/>
      <c r="G35" s="363"/>
      <c r="H35" s="350"/>
      <c r="I35" s="350"/>
      <c r="J35" s="350"/>
      <c r="K35" s="350"/>
      <c r="L35" s="351"/>
      <c r="M35" s="352"/>
    </row>
    <row r="36" spans="1:13" ht="25.5" customHeight="1" x14ac:dyDescent="0.2">
      <c r="A36" s="883"/>
      <c r="B36" s="60" t="s">
        <v>25</v>
      </c>
      <c r="C36" s="60"/>
      <c r="D36" s="60"/>
      <c r="E36" s="362"/>
      <c r="F36" s="350"/>
      <c r="G36" s="363"/>
      <c r="H36" s="350"/>
      <c r="I36" s="350"/>
      <c r="J36" s="350"/>
      <c r="K36" s="350"/>
      <c r="L36" s="351"/>
      <c r="M36" s="352"/>
    </row>
    <row r="37" spans="1:13" ht="25.5" customHeight="1" x14ac:dyDescent="0.2">
      <c r="A37" s="883"/>
      <c r="B37" s="60" t="s">
        <v>30</v>
      </c>
      <c r="C37" s="60"/>
      <c r="D37" s="60"/>
      <c r="E37" s="362"/>
      <c r="F37" s="350"/>
      <c r="G37" s="363"/>
      <c r="H37" s="350"/>
      <c r="I37" s="350"/>
      <c r="J37" s="350"/>
      <c r="K37" s="350"/>
      <c r="L37" s="351"/>
      <c r="M37" s="352"/>
    </row>
    <row r="38" spans="1:13" ht="25.5" customHeight="1" x14ac:dyDescent="0.2">
      <c r="A38" s="883"/>
      <c r="B38" s="60" t="s">
        <v>26</v>
      </c>
      <c r="C38" s="60"/>
      <c r="D38" s="60"/>
      <c r="E38" s="362"/>
      <c r="F38" s="350"/>
      <c r="G38" s="363"/>
      <c r="H38" s="350"/>
      <c r="I38" s="350"/>
      <c r="J38" s="350"/>
      <c r="K38" s="350"/>
      <c r="L38" s="351"/>
      <c r="M38" s="352"/>
    </row>
    <row r="39" spans="1:13" ht="25.5" customHeight="1" x14ac:dyDescent="0.2">
      <c r="A39" s="883"/>
      <c r="B39" s="59" t="s">
        <v>27</v>
      </c>
      <c r="C39" s="60"/>
      <c r="D39" s="60"/>
      <c r="E39" s="362"/>
      <c r="F39" s="350"/>
      <c r="G39" s="363"/>
      <c r="H39" s="350"/>
      <c r="I39" s="350"/>
      <c r="J39" s="350"/>
      <c r="K39" s="350"/>
      <c r="L39" s="351"/>
      <c r="M39" s="352"/>
    </row>
    <row r="40" spans="1:13" ht="25.5" customHeight="1" x14ac:dyDescent="0.2">
      <c r="A40" s="883"/>
      <c r="B40" s="59" t="s">
        <v>28</v>
      </c>
      <c r="C40" s="60"/>
      <c r="D40" s="60"/>
      <c r="E40" s="362"/>
      <c r="F40" s="350"/>
      <c r="G40" s="363"/>
      <c r="H40" s="350"/>
      <c r="I40" s="350"/>
      <c r="J40" s="350"/>
      <c r="K40" s="350"/>
      <c r="L40" s="351"/>
      <c r="M40" s="352"/>
    </row>
    <row r="41" spans="1:13" ht="25.5" customHeight="1" x14ac:dyDescent="0.2">
      <c r="A41" s="883"/>
      <c r="B41" s="59" t="s">
        <v>15</v>
      </c>
      <c r="C41" s="60"/>
      <c r="D41" s="60"/>
      <c r="E41" s="362"/>
      <c r="F41" s="350"/>
      <c r="G41" s="363"/>
      <c r="H41" s="350"/>
      <c r="I41" s="350"/>
      <c r="J41" s="350"/>
      <c r="K41" s="350"/>
      <c r="L41" s="351"/>
      <c r="M41" s="352"/>
    </row>
    <row r="42" spans="1:13" ht="25.5" customHeight="1" x14ac:dyDescent="0.2">
      <c r="A42" s="883"/>
      <c r="B42" s="59" t="s">
        <v>16</v>
      </c>
      <c r="C42" s="60"/>
      <c r="D42" s="60"/>
      <c r="E42" s="362"/>
      <c r="F42" s="350"/>
      <c r="G42" s="363"/>
      <c r="H42" s="350"/>
      <c r="I42" s="350"/>
      <c r="J42" s="350"/>
      <c r="K42" s="350"/>
      <c r="L42" s="351"/>
      <c r="M42" s="352"/>
    </row>
    <row r="43" spans="1:13" ht="25.5" customHeight="1" x14ac:dyDescent="0.2">
      <c r="A43" s="883"/>
      <c r="B43" s="59" t="s">
        <v>17</v>
      </c>
      <c r="C43" s="60"/>
      <c r="D43" s="60"/>
      <c r="E43" s="362"/>
      <c r="F43" s="350"/>
      <c r="G43" s="363"/>
      <c r="H43" s="350"/>
      <c r="I43" s="350"/>
      <c r="J43" s="350"/>
      <c r="K43" s="350"/>
      <c r="L43" s="351"/>
      <c r="M43" s="352"/>
    </row>
    <row r="44" spans="1:13" ht="25.5" customHeight="1" x14ac:dyDescent="0.2">
      <c r="A44" s="883"/>
      <c r="B44" s="59" t="s">
        <v>0</v>
      </c>
      <c r="C44" s="60"/>
      <c r="D44" s="60"/>
      <c r="E44" s="362"/>
      <c r="F44" s="350"/>
      <c r="G44" s="363"/>
      <c r="H44" s="350"/>
      <c r="I44" s="350"/>
      <c r="J44" s="350"/>
      <c r="K44" s="350"/>
      <c r="L44" s="351"/>
      <c r="M44" s="352"/>
    </row>
    <row r="45" spans="1:13" ht="25.5" customHeight="1" x14ac:dyDescent="0.2">
      <c r="A45" s="884"/>
      <c r="B45" s="62" t="s">
        <v>405</v>
      </c>
      <c r="C45" s="61"/>
      <c r="D45" s="61"/>
      <c r="E45" s="331">
        <f t="shared" ref="E45:G45" si="16">E32+E39+E40+E41+E42+E43+E44</f>
        <v>0</v>
      </c>
      <c r="F45" s="332">
        <f t="shared" si="16"/>
        <v>0</v>
      </c>
      <c r="G45" s="333">
        <f t="shared" si="16"/>
        <v>0</v>
      </c>
      <c r="H45" s="372">
        <f>H32+H39+H40+H41+H42+H43+H44</f>
        <v>0</v>
      </c>
      <c r="I45" s="372">
        <f t="shared" ref="I45:M45" si="17">I32+I39+I40+I41+I42+I43+I44</f>
        <v>0</v>
      </c>
      <c r="J45" s="372">
        <f t="shared" si="17"/>
        <v>0</v>
      </c>
      <c r="K45" s="372">
        <f t="shared" si="17"/>
        <v>0</v>
      </c>
      <c r="L45" s="372">
        <f t="shared" si="17"/>
        <v>0</v>
      </c>
      <c r="M45" s="371">
        <f t="shared" si="17"/>
        <v>0</v>
      </c>
    </row>
    <row r="46" spans="1:13" ht="25.5" customHeight="1" thickBot="1" x14ac:dyDescent="0.25">
      <c r="A46" s="257"/>
      <c r="B46" s="63" t="s">
        <v>52</v>
      </c>
      <c r="C46" s="63"/>
      <c r="D46" s="63"/>
      <c r="E46" s="367">
        <f>E31-E45</f>
        <v>0</v>
      </c>
      <c r="F46" s="368">
        <f t="shared" ref="F46:L46" si="18">F31-F45</f>
        <v>0</v>
      </c>
      <c r="G46" s="369">
        <f t="shared" si="18"/>
        <v>0</v>
      </c>
      <c r="H46" s="367">
        <f t="shared" si="18"/>
        <v>0</v>
      </c>
      <c r="I46" s="368">
        <f t="shared" si="18"/>
        <v>0</v>
      </c>
      <c r="J46" s="368">
        <f t="shared" si="18"/>
        <v>0</v>
      </c>
      <c r="K46" s="368">
        <f t="shared" si="18"/>
        <v>0</v>
      </c>
      <c r="L46" s="370">
        <f t="shared" si="18"/>
        <v>0</v>
      </c>
      <c r="M46" s="373">
        <f>M31-M45</f>
        <v>0</v>
      </c>
    </row>
    <row r="47" spans="1:13" ht="24.75" customHeight="1" x14ac:dyDescent="0.2"/>
  </sheetData>
  <mergeCells count="5">
    <mergeCell ref="L1:M1"/>
    <mergeCell ref="A4:A31"/>
    <mergeCell ref="A32:A45"/>
    <mergeCell ref="A3:D3"/>
    <mergeCell ref="C16:D16"/>
  </mergeCells>
  <phoneticPr fontId="2"/>
  <conditionalFormatting sqref="H3:M3">
    <cfRule type="cellIs" dxfId="730" priority="62" stopIfTrue="1" operator="between">
      <formula>"実績"</formula>
      <formula>"実績"</formula>
    </cfRule>
    <cfRule type="cellIs" dxfId="729" priority="63" stopIfTrue="1" operator="between">
      <formula>"見込"</formula>
      <formula>"見込"</formula>
    </cfRule>
  </conditionalFormatting>
  <pageMargins left="0.56999999999999995" right="0.25" top="0.69" bottom="0.39" header="0.3" footer="0.25"/>
  <pageSetup paperSize="9" scale="65" orientation="portrait" r:id="rId1"/>
  <headerFooter alignWithMargins="0">
    <oddHeader xml:space="preserve">&amp;R
</oddHeader>
    <oddFooter>&amp;C&amp;P</oddFooter>
  </headerFooter>
  <rowBreaks count="1" manualBreakCount="1">
    <brk id="46" max="16383" man="1"/>
  </rowBreaks>
  <extLst>
    <ext xmlns:x14="http://schemas.microsoft.com/office/spreadsheetml/2009/9/main" uri="{78C0D931-6437-407d-A8EE-F0AAD7539E65}">
      <x14:conditionalFormattings>
        <x14:conditionalFormatting xmlns:xm="http://schemas.microsoft.com/office/excel/2006/main">
          <x14:cfRule type="expression" priority="52" id="{CD198448-4A02-44CB-A7DD-605B75AFB091}">
            <xm:f>入力!$B$14-3&lt;27</xm:f>
            <x14:dxf>
              <fill>
                <patternFill patternType="mediumGray"/>
              </fill>
            </x14:dxf>
          </x14:cfRule>
          <xm:sqref>E18</xm:sqref>
        </x14:conditionalFormatting>
        <x14:conditionalFormatting xmlns:xm="http://schemas.microsoft.com/office/excel/2006/main">
          <x14:cfRule type="expression" priority="51" id="{9F6CD416-548B-445B-9A49-7690FD684958}">
            <xm:f>入力!$B$14-2&lt;27</xm:f>
            <x14:dxf>
              <fill>
                <patternFill patternType="mediumGray"/>
              </fill>
            </x14:dxf>
          </x14:cfRule>
          <xm:sqref>F18</xm:sqref>
        </x14:conditionalFormatting>
        <x14:conditionalFormatting xmlns:xm="http://schemas.microsoft.com/office/excel/2006/main">
          <x14:cfRule type="expression" priority="50" id="{50F24728-0312-485B-8ECA-FE29099A1002}">
            <xm:f>入力!$B$14-1&lt;27</xm:f>
            <x14:dxf>
              <fill>
                <patternFill patternType="mediumGray"/>
              </fill>
            </x14:dxf>
          </x14:cfRule>
          <xm:sqref>G18</xm:sqref>
        </x14:conditionalFormatting>
        <x14:conditionalFormatting xmlns:xm="http://schemas.microsoft.com/office/excel/2006/main">
          <x14:cfRule type="expression" priority="49" id="{36A0C515-A51B-417B-A464-4C5250396E06}">
            <xm:f>入力!$B$14&lt;27</xm:f>
            <x14:dxf>
              <fill>
                <patternFill patternType="mediumGray"/>
              </fill>
            </x14:dxf>
          </x14:cfRule>
          <xm:sqref>H18</xm:sqref>
        </x14:conditionalFormatting>
        <x14:conditionalFormatting xmlns:xm="http://schemas.microsoft.com/office/excel/2006/main">
          <x14:cfRule type="expression" priority="48" id="{C60913BC-262C-42D9-A588-566A8E0378B4}">
            <xm:f>入力!$B$14+1&lt;27</xm:f>
            <x14:dxf>
              <fill>
                <patternFill patternType="mediumGray"/>
              </fill>
            </x14:dxf>
          </x14:cfRule>
          <xm:sqref>I18</xm:sqref>
        </x14:conditionalFormatting>
        <x14:conditionalFormatting xmlns:xm="http://schemas.microsoft.com/office/excel/2006/main">
          <x14:cfRule type="expression" priority="47" id="{21B46152-9631-42ED-A0A6-0D6C6E46EC45}">
            <xm:f>入力!$B$14+2&lt;27</xm:f>
            <x14:dxf>
              <fill>
                <patternFill patternType="mediumGray"/>
              </fill>
            </x14:dxf>
          </x14:cfRule>
          <xm:sqref>J18</xm:sqref>
        </x14:conditionalFormatting>
        <x14:conditionalFormatting xmlns:xm="http://schemas.microsoft.com/office/excel/2006/main">
          <x14:cfRule type="expression" priority="46" id="{05CC078F-9FA3-4307-9A63-FA8A02DB0FEE}">
            <xm:f>入力!$B$14+3&lt;27</xm:f>
            <x14:dxf>
              <fill>
                <patternFill patternType="mediumGray"/>
              </fill>
            </x14:dxf>
          </x14:cfRule>
          <xm:sqref>K18</xm:sqref>
        </x14:conditionalFormatting>
        <x14:conditionalFormatting xmlns:xm="http://schemas.microsoft.com/office/excel/2006/main">
          <x14:cfRule type="expression" priority="45" id="{649F3B81-E4F3-4D6B-A368-B128D4F59009}">
            <xm:f>入力!$B$14+4&lt;27</xm:f>
            <x14:dxf>
              <fill>
                <patternFill patternType="mediumGray"/>
              </fill>
            </x14:dxf>
          </x14:cfRule>
          <xm:sqref>L18</xm:sqref>
        </x14:conditionalFormatting>
        <x14:conditionalFormatting xmlns:xm="http://schemas.microsoft.com/office/excel/2006/main">
          <x14:cfRule type="expression" priority="43" id="{B47C134B-8131-461D-8647-7C82C3E7EEEA}">
            <xm:f>入力!$B$14-3&lt;27</xm:f>
            <x14:dxf>
              <fill>
                <patternFill patternType="mediumGray"/>
              </fill>
            </x14:dxf>
          </x14:cfRule>
          <xm:sqref>E19</xm:sqref>
        </x14:conditionalFormatting>
        <x14:conditionalFormatting xmlns:xm="http://schemas.microsoft.com/office/excel/2006/main">
          <x14:cfRule type="expression" priority="42" id="{8BD4D21B-1815-4557-B132-E5B42C190687}">
            <xm:f>入力!$B$14-2&lt;27</xm:f>
            <x14:dxf>
              <fill>
                <patternFill patternType="mediumGray"/>
              </fill>
            </x14:dxf>
          </x14:cfRule>
          <xm:sqref>F19</xm:sqref>
        </x14:conditionalFormatting>
        <x14:conditionalFormatting xmlns:xm="http://schemas.microsoft.com/office/excel/2006/main">
          <x14:cfRule type="expression" priority="41" id="{25F611B0-CDBC-429A-A204-85A659D8F452}">
            <xm:f>入力!$B$14-1&lt;27</xm:f>
            <x14:dxf>
              <fill>
                <patternFill patternType="mediumGray"/>
              </fill>
            </x14:dxf>
          </x14:cfRule>
          <xm:sqref>G19</xm:sqref>
        </x14:conditionalFormatting>
        <x14:conditionalFormatting xmlns:xm="http://schemas.microsoft.com/office/excel/2006/main">
          <x14:cfRule type="expression" priority="40" id="{5E012C1A-62F0-4A70-8FCC-8D0E17FFD26D}">
            <xm:f>入力!$B$14&lt;27</xm:f>
            <x14:dxf>
              <fill>
                <patternFill patternType="mediumGray"/>
              </fill>
            </x14:dxf>
          </x14:cfRule>
          <xm:sqref>H19</xm:sqref>
        </x14:conditionalFormatting>
        <x14:conditionalFormatting xmlns:xm="http://schemas.microsoft.com/office/excel/2006/main">
          <x14:cfRule type="expression" priority="39" id="{78D67A19-88C6-485E-861A-8B4BC5239867}">
            <xm:f>入力!$B$14+1&lt;27</xm:f>
            <x14:dxf>
              <fill>
                <patternFill patternType="mediumGray"/>
              </fill>
            </x14:dxf>
          </x14:cfRule>
          <xm:sqref>I19</xm:sqref>
        </x14:conditionalFormatting>
        <x14:conditionalFormatting xmlns:xm="http://schemas.microsoft.com/office/excel/2006/main">
          <x14:cfRule type="expression" priority="38" id="{331F0C29-9B6E-4234-BC73-740FF0C9EA8E}">
            <xm:f>入力!$B$14+2&lt;27</xm:f>
            <x14:dxf>
              <fill>
                <patternFill patternType="mediumGray"/>
              </fill>
            </x14:dxf>
          </x14:cfRule>
          <xm:sqref>J19</xm:sqref>
        </x14:conditionalFormatting>
        <x14:conditionalFormatting xmlns:xm="http://schemas.microsoft.com/office/excel/2006/main">
          <x14:cfRule type="expression" priority="37" id="{5C3C29F0-A673-45C4-9FF2-56C1A0358E1F}">
            <xm:f>入力!$B$14+3&lt;27</xm:f>
            <x14:dxf>
              <fill>
                <patternFill patternType="mediumGray"/>
              </fill>
            </x14:dxf>
          </x14:cfRule>
          <xm:sqref>K19</xm:sqref>
        </x14:conditionalFormatting>
        <x14:conditionalFormatting xmlns:xm="http://schemas.microsoft.com/office/excel/2006/main">
          <x14:cfRule type="expression" priority="36" id="{E36FA8D2-4FC8-4D5A-BAD8-69E1FC1FE39E}">
            <xm:f>入力!$B$14+4&lt;27</xm:f>
            <x14:dxf>
              <fill>
                <patternFill patternType="mediumGray"/>
              </fill>
            </x14:dxf>
          </x14:cfRule>
          <xm:sqref>L19</xm:sqref>
        </x14:conditionalFormatting>
        <x14:conditionalFormatting xmlns:xm="http://schemas.microsoft.com/office/excel/2006/main">
          <x14:cfRule type="expression" priority="25" id="{517F70C7-0DD1-4A01-A7DA-2C887A8B3C31}">
            <xm:f>入力!$B$14-3&lt;27</xm:f>
            <x14:dxf>
              <fill>
                <patternFill patternType="mediumGray"/>
              </fill>
            </x14:dxf>
          </x14:cfRule>
          <xm:sqref>E22:E23</xm:sqref>
        </x14:conditionalFormatting>
        <x14:conditionalFormatting xmlns:xm="http://schemas.microsoft.com/office/excel/2006/main">
          <x14:cfRule type="expression" priority="24" id="{C9D74930-3E27-48F8-837A-2D9D7139FCF0}">
            <xm:f>入力!$B$14-2&lt;27</xm:f>
            <x14:dxf>
              <fill>
                <patternFill patternType="mediumGray"/>
              </fill>
            </x14:dxf>
          </x14:cfRule>
          <xm:sqref>F22:F23</xm:sqref>
        </x14:conditionalFormatting>
        <x14:conditionalFormatting xmlns:xm="http://schemas.microsoft.com/office/excel/2006/main">
          <x14:cfRule type="expression" priority="23" id="{D48FB9AC-8D7B-49A3-821C-CEBFEDBA7E48}">
            <xm:f>入力!$B$14-1&lt;27</xm:f>
            <x14:dxf>
              <fill>
                <patternFill patternType="mediumGray"/>
              </fill>
            </x14:dxf>
          </x14:cfRule>
          <xm:sqref>G22:G23</xm:sqref>
        </x14:conditionalFormatting>
        <x14:conditionalFormatting xmlns:xm="http://schemas.microsoft.com/office/excel/2006/main">
          <x14:cfRule type="expression" priority="22" id="{2237B436-283B-4BEB-8401-D888B2FEA4A3}">
            <xm:f>入力!$B$14&lt;27</xm:f>
            <x14:dxf>
              <fill>
                <patternFill patternType="mediumGray"/>
              </fill>
            </x14:dxf>
          </x14:cfRule>
          <xm:sqref>H22:H23</xm:sqref>
        </x14:conditionalFormatting>
        <x14:conditionalFormatting xmlns:xm="http://schemas.microsoft.com/office/excel/2006/main">
          <x14:cfRule type="expression" priority="21" id="{5DA3CD84-EB3E-4F00-A137-36D9B171EF60}">
            <xm:f>入力!$B$14+1&lt;27</xm:f>
            <x14:dxf>
              <fill>
                <patternFill patternType="mediumGray"/>
              </fill>
            </x14:dxf>
          </x14:cfRule>
          <xm:sqref>I22:I23</xm:sqref>
        </x14:conditionalFormatting>
        <x14:conditionalFormatting xmlns:xm="http://schemas.microsoft.com/office/excel/2006/main">
          <x14:cfRule type="expression" priority="20" id="{673D03D3-4DB0-4714-902E-112EEA34C091}">
            <xm:f>入力!$B$14+2&lt;27</xm:f>
            <x14:dxf>
              <fill>
                <patternFill patternType="mediumGray"/>
              </fill>
            </x14:dxf>
          </x14:cfRule>
          <xm:sqref>J22:J23</xm:sqref>
        </x14:conditionalFormatting>
        <x14:conditionalFormatting xmlns:xm="http://schemas.microsoft.com/office/excel/2006/main">
          <x14:cfRule type="expression" priority="19" id="{367331E1-992F-4D11-A8E9-9F6687B8E8B4}">
            <xm:f>入力!$B$14+3&lt;27</xm:f>
            <x14:dxf>
              <fill>
                <patternFill patternType="mediumGray"/>
              </fill>
            </x14:dxf>
          </x14:cfRule>
          <xm:sqref>K22:K23</xm:sqref>
        </x14:conditionalFormatting>
        <x14:conditionalFormatting xmlns:xm="http://schemas.microsoft.com/office/excel/2006/main">
          <x14:cfRule type="expression" priority="18" id="{8208A220-A920-4770-998D-3B0083D829EA}">
            <xm:f>入力!$B$14+4&lt;27</xm:f>
            <x14:dxf>
              <fill>
                <patternFill patternType="mediumGray"/>
              </fill>
            </x14:dxf>
          </x14:cfRule>
          <xm:sqref>L22:L23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入力</vt:lpstr>
      <vt:lpstr>和暦表示</vt:lpstr>
      <vt:lpstr>作成手順</vt:lpstr>
      <vt:lpstr>記入要領</vt:lpstr>
      <vt:lpstr>様式1</vt:lpstr>
      <vt:lpstr>様式2</vt:lpstr>
      <vt:lpstr>様式3</vt:lpstr>
      <vt:lpstr>様式4</vt:lpstr>
      <vt:lpstr>様式5</vt:lpstr>
      <vt:lpstr>様式6</vt:lpstr>
      <vt:lpstr>様式7</vt:lpstr>
      <vt:lpstr>様式8</vt:lpstr>
      <vt:lpstr>様式9</vt:lpstr>
      <vt:lpstr>様式10</vt:lpstr>
      <vt:lpstr>記入要領!Print_Area</vt:lpstr>
      <vt:lpstr>作成手順!Print_Area</vt:lpstr>
      <vt:lpstr>入力!Print_Area</vt:lpstr>
      <vt:lpstr>様式1!Print_Area</vt:lpstr>
      <vt:lpstr>様式10!Print_Area</vt:lpstr>
      <vt:lpstr>様式2!Print_Area</vt:lpstr>
      <vt:lpstr>様式3!Print_Area</vt:lpstr>
      <vt:lpstr>様式4!Print_Area</vt:lpstr>
      <vt:lpstr>様式5!Print_Area</vt:lpstr>
      <vt:lpstr>様式6!Print_Area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2017-04-13T05:46:16Z</dcterms:created>
  <dcterms:modified xsi:type="dcterms:W3CDTF">2026-03-19T13:22:27Z</dcterms:modified>
</cp:coreProperties>
</file>